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4190" windowHeight="6810" activeTab="0"/>
  </bookViews>
  <sheets>
    <sheet name="About" sheetId="1" r:id="rId1"/>
    <sheet name="Instructions" sheetId="2" r:id="rId2"/>
    <sheet name="BondCalculator" sheetId="3" r:id="rId3"/>
    <sheet name="NetDisposable" sheetId="4" r:id="rId4"/>
    <sheet name="AnnualAmort" sheetId="5" r:id="rId5"/>
    <sheet name="MonthAmort" sheetId="6" r:id="rId6"/>
  </sheets>
  <definedNames>
    <definedName name="_xlnm.Print_Area" localSheetId="4">'AnnualAmort'!$A$1:$G$33</definedName>
    <definedName name="_xlnm.Print_Titles" localSheetId="4">'AnnualAmort'!$1:$3</definedName>
    <definedName name="_xlnm.Print_Titles" localSheetId="1">'Instructions'!$1:$3</definedName>
    <definedName name="_xlnm.Print_Titles" localSheetId="5">'MonthAmort'!$1:$3</definedName>
    <definedName name="_xlnm.Print_Titles" localSheetId="3">'NetDisposable'!$1:$1</definedName>
  </definedNames>
  <calcPr fullCalcOnLoad="1"/>
</workbook>
</file>

<file path=xl/sharedStrings.xml><?xml version="1.0" encoding="utf-8"?>
<sst xmlns="http://schemas.openxmlformats.org/spreadsheetml/2006/main" count="558" uniqueCount="210">
  <si>
    <t>Interest</t>
  </si>
  <si>
    <t>www.excel-skills.com</t>
  </si>
  <si>
    <t>Annual Interest Rate</t>
  </si>
  <si>
    <t>Loan Repayment</t>
  </si>
  <si>
    <t>% Capital Outstanding</t>
  </si>
  <si>
    <t>Repayment Number</t>
  </si>
  <si>
    <t>Bond Calculator</t>
  </si>
  <si>
    <t>Input Variables</t>
  </si>
  <si>
    <t>Bond Amount</t>
  </si>
  <si>
    <t>Monthly Bond Repayment</t>
  </si>
  <si>
    <t>Total Interest over Bond Period</t>
  </si>
  <si>
    <t>Bond Period in Years</t>
  </si>
  <si>
    <t>Remuneration</t>
  </si>
  <si>
    <t>Operational Expenses</t>
  </si>
  <si>
    <t>Gross Salary</t>
  </si>
  <si>
    <t>Rent Paid</t>
  </si>
  <si>
    <t>Subsidies Received</t>
  </si>
  <si>
    <t>Water, Electricity &amp; Services</t>
  </si>
  <si>
    <t>Commission Received</t>
  </si>
  <si>
    <t>Rates &amp; Taxes</t>
  </si>
  <si>
    <t>Enter the average monthly commission received</t>
  </si>
  <si>
    <t>Total Allowances</t>
  </si>
  <si>
    <t>Repairs &amp; Maintenance</t>
  </si>
  <si>
    <t>Other</t>
  </si>
  <si>
    <t>Levies Paid</t>
  </si>
  <si>
    <t>Enter the total of any other remuneration received</t>
  </si>
  <si>
    <t>Deductions</t>
  </si>
  <si>
    <t>Insurance - Short Term</t>
  </si>
  <si>
    <t>Pension</t>
  </si>
  <si>
    <t>Insurance - Life</t>
  </si>
  <si>
    <t>Medical Aid</t>
  </si>
  <si>
    <t>Medical Costs</t>
  </si>
  <si>
    <t>Retirement Annuity</t>
  </si>
  <si>
    <t>Investments - Retirement Annuities</t>
  </si>
  <si>
    <t>Enter the total UIF deducted</t>
  </si>
  <si>
    <t>Income Tax (PAYE)</t>
  </si>
  <si>
    <t>Investments - Other</t>
  </si>
  <si>
    <t>Enter the total SDL deducted</t>
  </si>
  <si>
    <t>Unemployment Fund (UIF)</t>
  </si>
  <si>
    <t>Donations</t>
  </si>
  <si>
    <t>Skills Development Levy (SDL)</t>
  </si>
  <si>
    <t>Education</t>
  </si>
  <si>
    <t>This amount represents the monthly combined net remuneration</t>
  </si>
  <si>
    <t>Other Deductions</t>
  </si>
  <si>
    <t>Fuel &amp; Vehicle Maintenance</t>
  </si>
  <si>
    <t>Total Deductions</t>
  </si>
  <si>
    <t>Television Rental</t>
  </si>
  <si>
    <t>Enter the monthly average rental income received from existing buy to let properties</t>
  </si>
  <si>
    <t>Net Remuneration</t>
  </si>
  <si>
    <t>Memberships</t>
  </si>
  <si>
    <t>Enter monthly maintenance amount received from a previous spouse</t>
  </si>
  <si>
    <t>Subscriptions</t>
  </si>
  <si>
    <t>Enter the total monthly pension received</t>
  </si>
  <si>
    <t>Other Income</t>
  </si>
  <si>
    <t>Domestic Wages</t>
  </si>
  <si>
    <t>Dividend Income</t>
  </si>
  <si>
    <t>Gardening</t>
  </si>
  <si>
    <t>Rental Income</t>
  </si>
  <si>
    <t>Groceries</t>
  </si>
  <si>
    <t>Enter the monthly rates and taxes paid on properties owned</t>
  </si>
  <si>
    <t>Maintenance</t>
  </si>
  <si>
    <t>Clothing</t>
  </si>
  <si>
    <t>Enter the average monthly repairs and maintenance on existing properties</t>
  </si>
  <si>
    <t>Monthly Pension</t>
  </si>
  <si>
    <t>Entertainment</t>
  </si>
  <si>
    <t>Total Other Income</t>
  </si>
  <si>
    <t>Maintenance Payments</t>
  </si>
  <si>
    <t>Enter the average monthly telephone, cell phone and internet expense</t>
  </si>
  <si>
    <t>Enter the current monthly insurance premium</t>
  </si>
  <si>
    <t>Total Operational Expenses</t>
  </si>
  <si>
    <t>Enter the current monthly life insurance premium</t>
  </si>
  <si>
    <t>Financing Expenses</t>
  </si>
  <si>
    <t>Enter the total monthly premiums associated with retirement annuities</t>
  </si>
  <si>
    <t>Bond Repayments</t>
  </si>
  <si>
    <t>Enter the average monthly payments relating to other investments</t>
  </si>
  <si>
    <t>Personal Loan Instalments</t>
  </si>
  <si>
    <t>Financing - Motor Vehicles</t>
  </si>
  <si>
    <t>Financing - Computers</t>
  </si>
  <si>
    <t>Financing - Furniture</t>
  </si>
  <si>
    <t>Credit Card Repayments</t>
  </si>
  <si>
    <t>Bank Charges</t>
  </si>
  <si>
    <t>Total Financing Expenses</t>
  </si>
  <si>
    <t>Enter the average monthly cost associated with gardening services / landscaping</t>
  </si>
  <si>
    <t>Enter the average monthly grocery spend</t>
  </si>
  <si>
    <t>Net Disposable Income Calculation</t>
  </si>
  <si>
    <t>Enter the average monthly clothing spend</t>
  </si>
  <si>
    <t>Enter the average monthly cost associated with entertainment, take-outs and restaurants</t>
  </si>
  <si>
    <t>Add: Other Income</t>
  </si>
  <si>
    <t>Less: Operational Expenses</t>
  </si>
  <si>
    <t>Less: Financing Expenses</t>
  </si>
  <si>
    <t>Net Disposable Income</t>
  </si>
  <si>
    <t>Input Field Guidance</t>
  </si>
  <si>
    <t>Interest Rate Safety</t>
  </si>
  <si>
    <t>Annual Interest Rate Sensitivity</t>
  </si>
  <si>
    <t>Average Annual Inflation Rate</t>
  </si>
  <si>
    <t>Bond Repayment</t>
  </si>
  <si>
    <t>PV Factor</t>
  </si>
  <si>
    <t>PV Interest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</si>
  <si>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</si>
  <si>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</si>
  <si>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</si>
  <si>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</si>
  <si>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</si>
  <si>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</si>
  <si>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</si>
  <si>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</si>
  <si>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</si>
  <si>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</si>
  <si>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</si>
  <si>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</si>
  <si>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</si>
  <si>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</si>
  <si>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</si>
  <si>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</si>
  <si>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</si>
  <si>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</si>
  <si>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</si>
  <si>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</si>
  <si>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Annual Amortization Table</t>
  </si>
  <si>
    <t>Year 21</t>
  </si>
  <si>
    <t>Year 22</t>
  </si>
  <si>
    <t>Year 23</t>
  </si>
  <si>
    <t>Year 24</t>
  </si>
  <si>
    <t>Year 25</t>
  </si>
  <si>
    <t>Year 26</t>
  </si>
  <si>
    <t>Year 27</t>
  </si>
  <si>
    <t>Year 28</t>
  </si>
  <si>
    <t>Year 29</t>
  </si>
  <si>
    <t>Year 30</t>
  </si>
  <si>
    <t>Total Adjusted Interest over Bond Period</t>
  </si>
  <si>
    <t>Interest Saving</t>
  </si>
  <si>
    <t>Present Value of Interest Saving</t>
  </si>
  <si>
    <t>Years</t>
  </si>
  <si>
    <t>Amortization</t>
  </si>
  <si>
    <t>Increased Instalment</t>
  </si>
  <si>
    <t>Capital Repayment</t>
  </si>
  <si>
    <t>Minimum Required Net Disposable Income</t>
  </si>
  <si>
    <t>AnnualAmort Sheet</t>
  </si>
  <si>
    <t>NetDisposable Sheet</t>
  </si>
  <si>
    <t>BondCalculator Sheet</t>
  </si>
  <si>
    <t>MonthAmort Sheet</t>
  </si>
  <si>
    <t>Additional Monthly Bond Repayment</t>
  </si>
  <si>
    <t>Enter the average monthly vehicle fuel and maintenance costs</t>
  </si>
  <si>
    <t>Enter the monthly subscription fee applicable to television / cable rentals</t>
  </si>
  <si>
    <t>Enter the total monthly subscription fees applicable to newspapers, magazines, etc.</t>
  </si>
  <si>
    <t>Calculation Results:</t>
  </si>
  <si>
    <t>Monthly Amortization Table</t>
  </si>
  <si>
    <t>Excel Skills | Bond Calculator Template</t>
  </si>
  <si>
    <t>Instructions</t>
  </si>
  <si>
    <t>This sheet includes a detailed calculation of the monthly net disposable income. All values should be entered as positive values. Refer to the guidance that has been included from row 38 downwards for more information on the input that is required in each input cell.</t>
  </si>
  <si>
    <t>Help</t>
  </si>
  <si>
    <t>The monthly bond repayment amount is calculated from the bond principle amount (cell B4), bond period (cell B6) and the annual interest rate (cell B5).</t>
  </si>
  <si>
    <t>The total interest paid over the entire bond period is the total amount of interest that will have to be paid over the entire bond period.</t>
  </si>
  <si>
    <t>The interest rate safety percentage indicates the percentage by which interest rates have to increase before the monthly net disposable income would not be sufficient to cover the required monthly bond repayments.</t>
  </si>
  <si>
    <t>The interest rate sensitivity calculation measures the effect that changes in the bond interest rate have on monthly bond repayments. The interest rate sensitivity percentage that is entered in cell B8 is used for this purpose.</t>
  </si>
  <si>
    <t>The capital repayment chart is a visual display of the timing of capital repayments over the entire bond period.</t>
  </si>
  <si>
    <t>The minimum required net disposable income is the minimum net disposable income that is required in order to qualify for the bond principle amount that is entered in cell B4.</t>
  </si>
  <si>
    <t>This sheet includes an annual amortization table that is based on the bond input values that are entered in cell B4 to B6 on the BondCalculator sheet. We recommend that you pay special attention to the outstanding capital percentage in column G as it indicates how the capital will be repaid over the entire bond period. You'll notice that during the first few years of the bond repayment period, the monthly bond repayments consist almost entirely of interest.</t>
  </si>
  <si>
    <t>If you experience any difficulty while using this template, please e-mail us at support@excel-skills.com for assistance.</t>
  </si>
  <si>
    <t>Telephone / Cell Phone / Internet</t>
  </si>
  <si>
    <t>Enter the combined monthly gross household salaries</t>
  </si>
  <si>
    <t>Enter total of all subsidies received as part of remuneration, e.g.. housing subsidy</t>
  </si>
  <si>
    <t>Enter the total monthly allowances received as part of remuneration, e.g.. travel allowance, cell phone allowance, etc.</t>
  </si>
  <si>
    <t>Enter the total monthly pension fund deductions</t>
  </si>
  <si>
    <t>Enter the total monthly medical aid deductions</t>
  </si>
  <si>
    <t>Enter the total monthly retirement annuity contributions</t>
  </si>
  <si>
    <t>Enter the total monthly income tax deducted</t>
  </si>
  <si>
    <t>Enter the total of all other deductions, e.g.. funeral plan</t>
  </si>
  <si>
    <t>Enter the average monthly dividend income</t>
  </si>
  <si>
    <t>Enter the total monthly rent paid. If a primary residence is being acquired and a property is currently being rented, the rent amount should be excluded from the calculation</t>
  </si>
  <si>
    <t>Enter the monthly average for water, electricity and services paid to local government</t>
  </si>
  <si>
    <t>Enter the monthly levy payable to a body corporate for properties that form part of a complex</t>
  </si>
  <si>
    <t>Enter the average monthly medical costs that are not covered by a medical aid</t>
  </si>
  <si>
    <t>Enter the average monthly donations amount</t>
  </si>
  <si>
    <t>Enter the average monthly education cost, e.g.. school fees</t>
  </si>
  <si>
    <t>Enter the monthly average membership cost, e.g.. gym membership</t>
  </si>
  <si>
    <t>Enter the total monthly domestic wages, e.g.. housekeeper wages, gardener wages, etc.</t>
  </si>
  <si>
    <t>Enter a monthly total for maintenance payments relating to estranged spouses and dependents</t>
  </si>
  <si>
    <t>Enter total monthly cost of any other expense items that do not form part of any of the other categories</t>
  </si>
  <si>
    <t>Enter a monthly total for existing bond repayments</t>
  </si>
  <si>
    <t>Enter a monthly total for personal loan repayments</t>
  </si>
  <si>
    <t>Enter a monthly total for motor finance repayments</t>
  </si>
  <si>
    <t>Enter a monthly total for computer finance repayments</t>
  </si>
  <si>
    <t>Enter a monthly total for furniture finance repayments</t>
  </si>
  <si>
    <t>Enter a monthly total for credit card repayments</t>
  </si>
  <si>
    <t>Enter the average monthly combined bank charges</t>
  </si>
  <si>
    <t>Enter a total for any other financing payments that do not form part of the other financing cost categories</t>
  </si>
  <si>
    <t>Note: If you're experiencing any difficulty in completing this spreadsheet, we recommend using our Personal Finance template to analyze your monthly household expenses.</t>
  </si>
  <si>
    <t>Total Gross Remuneration</t>
  </si>
  <si>
    <t>Calculation Results</t>
  </si>
  <si>
    <t>Opening Balance</t>
  </si>
  <si>
    <t>Closing Balance</t>
  </si>
  <si>
    <t>Interest Charged</t>
  </si>
  <si>
    <t>Capital Repaid</t>
  </si>
  <si>
    <t>Bond calculators are sometimes also referred to as home loan calculators or mortgage calculators. The aim of this free Excel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also gain a better understanding of home loan amortization and specifically the timing of capital repayments on a bond.</t>
  </si>
  <si>
    <t>The following sheets are included in this template:</t>
  </si>
  <si>
    <t>Maximum Bond Qualification Amount</t>
  </si>
  <si>
    <t>Increased Instalment Repayment Amount</t>
  </si>
  <si>
    <t>Adjusted Bond Repayment Period (in months)</t>
  </si>
  <si>
    <t>Adjusted Bond Repayment Period (in years)</t>
  </si>
  <si>
    <t>Monthly Difference</t>
  </si>
  <si>
    <t>All the calculations in this template are based on the values that are entered in the input cells from cell B4 to B9 on the BondCalculator sheet (except for the net disposable income calculation). Input guidance is displayed below the selected input cell. We have also added data validation to all input cells to ensure that only valid user input is accepted.</t>
  </si>
  <si>
    <t>The monthly net disposable Income is calculated on the NetDisposable sheet - refer to this sheet for more information on the calculation.</t>
  </si>
  <si>
    <t>The maximum bond qualification amount is calculated based on the net disposable income, annual interest rate and bond period. It represents an estimate of the maximum bond amount that applicants can qualify for based on their combined monthly net disposable income. There are a number of other factors that financial institutions will consider when determining the maximum bond qualification amount - our calculation should therefore only be seen as an estimate which cannot be guaranteed.</t>
  </si>
  <si>
    <t>The increased instalment calculations in row 21 to 26 are based on the additional monthly bond repayment that is entered in cell B7. The assumption is made that the entire additional bond repayments are deducted from the outstanding capital balance, thereby resulting in a shorter bond repayment period. Note that the present value of the interest saving is calculated by discounting the monthly interest savings by the average annual inflation rate over the entire bond period. It therefore represents the value of future interest savings in today's monetary terms.</t>
  </si>
  <si>
    <t>The increased instalment interest saving chart is a visual display of the interest savings that result from effecting increased monthly bond repayments.</t>
  </si>
  <si>
    <t>This sheet includes a monthly amortization table that is based on the bond input values that are entered in cell B4 to B6 on the BondCalculator sheet.</t>
  </si>
  <si>
    <t>The total bond repayment over the bond period is the sum of all the monthly bond repayment amounts. This amount consists of all interest charges and capital repayments.</t>
  </si>
  <si>
    <t>Total Bond Repayment over Bond Period</t>
  </si>
  <si>
    <t>© www.excel-skills.com</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</si>
</sst>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C09]dd\ mmmm\ yyyy"/>
    <numFmt numFmtId="173" formatCode="0.0%"/>
    <numFmt numFmtId="174" formatCode="_ * #,##0.000000000_ ;_ * \-#,##0.000000000_ ;_ * &quot;-&quot;?????????_ ;_ @_ "/>
    <numFmt numFmtId="175" formatCode="0.00_ ;\-0.00\ "/>
    <numFmt numFmtId="176" formatCode="mm/dd/yyyy"/>
    <numFmt numFmtId="177" formatCode="_ * #,##0.0_ ;_ * \-#,##0.0_ ;_ * &quot;-&quot;??_ ;_ @_ "/>
    <numFmt numFmtId="178" formatCode="_ * #,##0_ ;_ * \-#,##0_ ;_ * &quot;-&quot;??_ ;_ @_ "/>
    <numFmt numFmtId="179" formatCode="_ * #,##0.0_ ;_ * \-#,##0.0_ ;_ * &quot;-&quot;?_ ;_ @_ "/>
    <numFmt numFmtId="180" formatCode="mmm\-yyyy"/>
    <numFmt numFmtId="181" formatCode="_ * #,##0.000_ ;_ * \-#,##0.000_ ;_ * &quot;-&quot;??_ ;_ @_ "/>
    <numFmt numFmtId="182" formatCode="_ * #,##0.0000_ ;_ * \-#,##0.0000_ ;_ * &quot;-&quot;??_ ;_ @_ "/>
    <numFmt numFmtId="183" formatCode="_ * #,##0.00000_ ;_ * \-#,##0.00000_ ;_ * &quot;-&quot;??_ ;_ @_ "/>
    <numFmt numFmtId="184" formatCode="_ * #,##0.000000_ ;_ * \-#,##0.000000_ ;_ * &quot;-&quot;??_ ;_ @_ "/>
    <numFmt numFmtId="185" formatCode="_ * #,##0.0000000_ ;_ * \-#,##0.0000000_ ;_ * &quot;-&quot;??_ ;_ @_ "/>
    <numFmt numFmtId="186" formatCode="_ * #,##0.00000000_ ;_ * \-#,##0.00000000_ ;_ * &quot;-&quot;??_ ;_ @_ "/>
    <numFmt numFmtId="187" formatCode="_ * #,##0.000000000_ ;_ * \-#,##0.000000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0.00_ ;\-#,##0.00\ "/>
    <numFmt numFmtId="193" formatCode="#,##0.000_ ;\-#,##0.000\ "/>
    <numFmt numFmtId="194" formatCode="_ * #,##0.000_ ;_ * \-#,##0.000_ ;_ * &quot;-&quot;???_ ;_ @_ "/>
    <numFmt numFmtId="195" formatCode="&quot;R&quot;\ #,##0.00000000;&quot;R&quot;\ \-#,##0.00000000"/>
    <numFmt numFmtId="196" formatCode="#,##0.0000_ ;\-#,##0.0000\ "/>
    <numFmt numFmtId="197" formatCode="&quot;R&quot;\ #,##0.0000;&quot;R&quot;\ \-#,##0.0000"/>
    <numFmt numFmtId="198" formatCode="&quot;R&quot;\ #,##0.00000000;[Red]&quot;R&quot;\ \-#,##0.00000000"/>
    <numFmt numFmtId="199" formatCode="_ * #,##0.0000_ ;_ * \-#,##0.0000_ ;_ * &quot;-&quot;????_ ;_ @_ "/>
    <numFmt numFmtId="200" formatCode="0.000%"/>
    <numFmt numFmtId="201" formatCode="0.0000%"/>
    <numFmt numFmtId="202" formatCode="0.00000%"/>
    <numFmt numFmtId="203" formatCode="0.000000%"/>
    <numFmt numFmtId="204" formatCode="_ * #,##0.00_ ;_ * \-#,##0.00_ ;_ * &quot;-&quot;???_ ;_ @_ "/>
    <numFmt numFmtId="205" formatCode="yyyy/mm/dd;@"/>
    <numFmt numFmtId="206" formatCode="[$-F800]dddd\,\ mmmm\ dd\,\ yyyy"/>
    <numFmt numFmtId="207" formatCode="yyyy"/>
    <numFmt numFmtId="208" formatCode="d\-mmm\-yy"/>
    <numFmt numFmtId="209" formatCode="&quot;R&quot;\ #,##0.000;&quot;R&quot;\ \-#,##0.000"/>
    <numFmt numFmtId="210" formatCode="_ * #,##0.0000000000_ ;_ * \-#,##0.0000000000_ ;_ * &quot;-&quot;??_ ;_ @_ "/>
    <numFmt numFmtId="211" formatCode="_ * #,##0.00000000000_ ;_ * \-#,##0.00000000000_ ;_ * &quot;-&quot;??_ ;_ @_ "/>
    <numFmt numFmtId="212" formatCode="_ * #,##0.000000000000_ ;_ * \-#,##0.000000000000_ ;_ * &quot;-&quot;??_ ;_ @_ "/>
    <numFmt numFmtId="213" formatCode="#,##0_ ;\-#,##0\ "/>
  </numFmts>
  <fonts count="75">
    <font>
      <sz val="10"/>
      <name val="Arial"/>
      <family val="0"/>
    </font>
    <font>
      <u val="single"/>
      <sz val="8"/>
      <color indexed="36"/>
      <name val="Arial"/>
      <family val="2"/>
    </font>
    <font>
      <u val="single"/>
      <sz val="8"/>
      <color indexed="12"/>
      <name val="Arial"/>
      <family val="2"/>
    </font>
    <font>
      <sz val="8"/>
      <name val="Arial"/>
      <family val="2"/>
    </font>
    <font>
      <b/>
      <sz val="14"/>
      <name val="Arial"/>
      <family val="2"/>
    </font>
    <font>
      <b/>
      <sz val="11"/>
      <color indexed="9"/>
      <name val="Arial"/>
      <family val="2"/>
    </font>
    <font>
      <b/>
      <sz val="11"/>
      <name val="Arial"/>
      <family val="2"/>
    </font>
    <font>
      <b/>
      <u val="single"/>
      <sz val="12"/>
      <color indexed="17"/>
      <name val="Calibri"/>
      <family val="2"/>
    </font>
    <font>
      <b/>
      <sz val="12"/>
      <name val="Arial"/>
      <family val="2"/>
    </font>
    <font>
      <i/>
      <sz val="12"/>
      <name val="Arial"/>
      <family val="2"/>
    </font>
    <font>
      <i/>
      <sz val="11"/>
      <name val="Arial"/>
      <family val="2"/>
    </font>
    <font>
      <b/>
      <u val="single"/>
      <sz val="12"/>
      <color indexed="17"/>
      <name val="Arial"/>
      <family val="2"/>
    </font>
    <font>
      <b/>
      <u val="single"/>
      <sz val="11"/>
      <color indexed="17"/>
      <name val="Arial"/>
      <family val="2"/>
    </font>
    <font>
      <b/>
      <sz val="9.5"/>
      <name val="Arial"/>
      <family val="2"/>
    </font>
    <font>
      <sz val="9.5"/>
      <name val="Arial"/>
      <family val="2"/>
    </font>
    <font>
      <sz val="11"/>
      <name val="Arial"/>
      <family val="2"/>
    </font>
    <font>
      <sz val="12"/>
      <name val="Arial"/>
      <family val="2"/>
    </font>
    <font>
      <sz val="12"/>
      <color indexed="10"/>
      <name val="Arial"/>
      <family val="2"/>
    </font>
    <font>
      <sz val="12"/>
      <color indexed="12"/>
      <name val="Arial"/>
      <family val="2"/>
    </font>
    <font>
      <sz val="9.5"/>
      <color indexed="10"/>
      <name val="Arial"/>
      <family val="2"/>
    </font>
    <font>
      <sz val="9.5"/>
      <color indexed="17"/>
      <name val="Arial"/>
      <family val="2"/>
    </font>
    <font>
      <sz val="9.5"/>
      <color indexed="8"/>
      <name val="Arial"/>
      <family val="2"/>
    </font>
    <font>
      <b/>
      <sz val="9.5"/>
      <color indexed="8"/>
      <name val="Arial"/>
      <family val="2"/>
    </font>
    <font>
      <sz val="9.5"/>
      <color indexed="12"/>
      <name val="Arial"/>
      <family val="2"/>
    </font>
    <font>
      <b/>
      <sz val="9.5"/>
      <color indexed="17"/>
      <name val="Arial"/>
      <family val="2"/>
    </font>
    <font>
      <b/>
      <sz val="9.5"/>
      <color indexed="10"/>
      <name val="Arial"/>
      <family val="2"/>
    </font>
    <font>
      <b/>
      <sz val="9.5"/>
      <color indexed="12"/>
      <name val="Arial"/>
      <family val="2"/>
    </font>
    <font>
      <sz val="11"/>
      <color indexed="10"/>
      <name val="Arial"/>
      <family val="2"/>
    </font>
    <font>
      <sz val="11"/>
      <color indexed="12"/>
      <name val="Arial"/>
      <family val="2"/>
    </font>
    <font>
      <sz val="9.5"/>
      <color indexed="9"/>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43"/>
      <name val="Arial"/>
      <family val="0"/>
    </font>
    <font>
      <b/>
      <sz val="14"/>
      <color indexed="43"/>
      <name val="Arial"/>
      <family val="0"/>
    </font>
    <font>
      <b/>
      <sz val="10.5"/>
      <color indexed="9"/>
      <name val="Arial"/>
      <family val="0"/>
    </font>
    <font>
      <sz val="10"/>
      <color indexed="9"/>
      <name val="Arial"/>
      <family val="0"/>
    </font>
    <font>
      <sz val="9.75"/>
      <color indexed="8"/>
      <name val="Arial"/>
      <family val="0"/>
    </font>
    <font>
      <b/>
      <sz val="9"/>
      <color indexed="9"/>
      <name val="Arial"/>
      <family val="0"/>
    </font>
    <font>
      <sz val="6.3"/>
      <color indexed="8"/>
      <name val="Arial"/>
      <family val="0"/>
    </font>
    <font>
      <b/>
      <sz val="9"/>
      <color indexed="43"/>
      <name val="Arial"/>
      <family val="0"/>
    </font>
    <font>
      <b/>
      <sz val="12"/>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29292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double"/>
      <bottom>
        <color indexed="63"/>
      </bottom>
    </border>
    <border>
      <left style="thin">
        <color indexed="22"/>
      </left>
      <right style="thin">
        <color indexed="22"/>
      </right>
      <top style="thin">
        <color indexed="22"/>
      </top>
      <bottom style="thin">
        <color indexed="22"/>
      </bottom>
    </border>
  </borders>
  <cellStyleXfs count="66">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14">
    <xf numFmtId="0" fontId="0" fillId="0" borderId="0" xfId="0" applyAlignment="1">
      <alignment wrapText="1"/>
    </xf>
    <xf numFmtId="0" fontId="0" fillId="0" borderId="0" xfId="0" applyAlignment="1" applyProtection="1">
      <alignment horizontal="justify"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0" fillId="0" borderId="0" xfId="0" applyFont="1" applyAlignment="1" applyProtection="1">
      <alignment horizontal="justify" vertical="center" wrapText="1"/>
      <protection hidden="1"/>
    </xf>
    <xf numFmtId="0" fontId="0" fillId="0" borderId="0" xfId="0" applyFont="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0" fillId="0" borderId="0" xfId="0" applyAlignment="1" applyProtection="1">
      <alignment wrapText="1"/>
      <protection hidden="1"/>
    </xf>
    <xf numFmtId="0" fontId="0" fillId="0" borderId="0" xfId="0" applyAlignment="1" applyProtection="1">
      <alignment horizontal="justify" wrapText="1"/>
      <protection hidden="1"/>
    </xf>
    <xf numFmtId="0" fontId="4" fillId="0" borderId="0" xfId="0" applyFont="1" applyAlignment="1" applyProtection="1">
      <alignment/>
      <protection hidden="1"/>
    </xf>
    <xf numFmtId="0" fontId="9" fillId="0" borderId="0" xfId="0" applyFont="1" applyAlignment="1" applyProtection="1">
      <alignment/>
      <protection hidden="1"/>
    </xf>
    <xf numFmtId="0" fontId="11" fillId="0" borderId="0" xfId="53" applyFont="1" applyAlignment="1" applyProtection="1">
      <alignment horizontal="right"/>
      <protection hidden="1"/>
    </xf>
    <xf numFmtId="0" fontId="7" fillId="0" borderId="0" xfId="53" applyFont="1" applyAlignment="1" applyProtection="1">
      <alignment horizontal="right"/>
      <protection hidden="1"/>
    </xf>
    <xf numFmtId="171" fontId="14" fillId="33" borderId="10" xfId="42" applyFont="1" applyFill="1" applyBorder="1" applyAlignment="1" applyProtection="1">
      <alignment/>
      <protection locked="0"/>
    </xf>
    <xf numFmtId="178" fontId="14" fillId="33" borderId="10" xfId="42" applyNumberFormat="1" applyFont="1" applyFill="1" applyBorder="1" applyAlignment="1" applyProtection="1">
      <alignment/>
      <protection locked="0"/>
    </xf>
    <xf numFmtId="173" fontId="14" fillId="33" borderId="10" xfId="42" applyNumberFormat="1" applyFont="1" applyFill="1" applyBorder="1" applyAlignment="1" applyProtection="1">
      <alignment/>
      <protection locked="0"/>
    </xf>
    <xf numFmtId="0" fontId="10" fillId="0" borderId="0" xfId="58" applyFont="1" applyProtection="1">
      <alignment/>
      <protection hidden="1"/>
    </xf>
    <xf numFmtId="0" fontId="12" fillId="0" borderId="0" xfId="53" applyFont="1" applyAlignment="1" applyProtection="1">
      <alignment horizontal="right"/>
      <protection hidden="1"/>
    </xf>
    <xf numFmtId="0" fontId="14" fillId="0" borderId="0" xfId="0" applyFont="1" applyAlignment="1" applyProtection="1">
      <alignment/>
      <protection hidden="1"/>
    </xf>
    <xf numFmtId="0" fontId="6" fillId="0" borderId="0" xfId="0" applyFont="1" applyAlignment="1" applyProtection="1">
      <alignment/>
      <protection hidden="1"/>
    </xf>
    <xf numFmtId="171" fontId="14" fillId="0" borderId="0" xfId="42" applyFont="1" applyAlignment="1" applyProtection="1">
      <alignment/>
      <protection hidden="1"/>
    </xf>
    <xf numFmtId="171" fontId="14" fillId="0" borderId="0" xfId="0" applyNumberFormat="1" applyFont="1" applyAlignment="1" applyProtection="1">
      <alignment/>
      <protection hidden="1"/>
    </xf>
    <xf numFmtId="178" fontId="14" fillId="0" borderId="0" xfId="0" applyNumberFormat="1" applyFont="1" applyAlignment="1" applyProtection="1">
      <alignment/>
      <protection hidden="1"/>
    </xf>
    <xf numFmtId="178" fontId="14" fillId="0" borderId="0" xfId="42" applyNumberFormat="1" applyFont="1" applyAlignment="1" applyProtection="1">
      <alignment/>
      <protection hidden="1"/>
    </xf>
    <xf numFmtId="10" fontId="14" fillId="0" borderId="0" xfId="62" applyNumberFormat="1" applyFont="1" applyAlignment="1" applyProtection="1">
      <alignment/>
      <protection hidden="1"/>
    </xf>
    <xf numFmtId="0" fontId="8" fillId="0" borderId="0" xfId="58" applyFont="1" applyBorder="1" applyAlignment="1" applyProtection="1">
      <alignment horizontal="left"/>
      <protection hidden="1"/>
    </xf>
    <xf numFmtId="0" fontId="16" fillId="0" borderId="0" xfId="58" applyFont="1" applyProtection="1">
      <alignment/>
      <protection hidden="1"/>
    </xf>
    <xf numFmtId="0" fontId="13" fillId="0" borderId="0" xfId="58" applyFont="1" applyBorder="1" applyProtection="1">
      <alignment/>
      <protection hidden="1"/>
    </xf>
    <xf numFmtId="178" fontId="14" fillId="0" borderId="0" xfId="42" applyNumberFormat="1" applyFont="1" applyBorder="1" applyAlignment="1" applyProtection="1">
      <alignment/>
      <protection hidden="1"/>
    </xf>
    <xf numFmtId="0" fontId="19" fillId="0" borderId="0" xfId="42" applyNumberFormat="1" applyFont="1" applyFill="1" applyBorder="1" applyAlignment="1" applyProtection="1">
      <alignment horizontal="center"/>
      <protection hidden="1"/>
    </xf>
    <xf numFmtId="0" fontId="13" fillId="0" borderId="0" xfId="58" applyFont="1" applyFill="1" applyBorder="1" applyProtection="1">
      <alignment/>
      <protection hidden="1"/>
    </xf>
    <xf numFmtId="0" fontId="19" fillId="0" borderId="0" xfId="42" applyNumberFormat="1" applyFont="1" applyBorder="1" applyAlignment="1" applyProtection="1">
      <alignment horizontal="center"/>
      <protection hidden="1"/>
    </xf>
    <xf numFmtId="0" fontId="14" fillId="0" borderId="0" xfId="58" applyFont="1" applyProtection="1">
      <alignment/>
      <protection hidden="1"/>
    </xf>
    <xf numFmtId="0" fontId="14" fillId="0" borderId="0" xfId="58" applyFont="1" applyBorder="1" applyProtection="1">
      <alignment/>
      <protection hidden="1"/>
    </xf>
    <xf numFmtId="0" fontId="20" fillId="0" borderId="0" xfId="42" applyNumberFormat="1" applyFont="1" applyFill="1" applyBorder="1" applyAlignment="1" applyProtection="1">
      <alignment horizontal="center"/>
      <protection hidden="1"/>
    </xf>
    <xf numFmtId="0" fontId="14" fillId="0" borderId="0" xfId="58" applyFont="1" applyFill="1" applyBorder="1" applyProtection="1">
      <alignment/>
      <protection hidden="1"/>
    </xf>
    <xf numFmtId="0" fontId="20" fillId="0" borderId="0" xfId="42" applyNumberFormat="1" applyFont="1" applyBorder="1" applyAlignment="1" applyProtection="1">
      <alignment horizontal="center"/>
      <protection hidden="1"/>
    </xf>
    <xf numFmtId="0" fontId="21" fillId="0" borderId="0" xfId="58" applyFont="1" applyBorder="1" applyProtection="1">
      <alignment/>
      <protection hidden="1"/>
    </xf>
    <xf numFmtId="0" fontId="14" fillId="0" borderId="0" xfId="58" applyFont="1" applyFill="1" applyBorder="1" applyProtection="1">
      <alignment/>
      <protection hidden="1"/>
    </xf>
    <xf numFmtId="178" fontId="13" fillId="34" borderId="10" xfId="42" applyNumberFormat="1" applyFont="1" applyFill="1" applyBorder="1" applyAlignment="1" applyProtection="1">
      <alignment/>
      <protection hidden="1"/>
    </xf>
    <xf numFmtId="0" fontId="21" fillId="0" borderId="0" xfId="58" applyFont="1" applyFill="1" applyBorder="1" applyProtection="1">
      <alignment/>
      <protection hidden="1"/>
    </xf>
    <xf numFmtId="0" fontId="22" fillId="0" borderId="0" xfId="58" applyFont="1" applyFill="1" applyBorder="1" applyProtection="1">
      <alignment/>
      <protection hidden="1"/>
    </xf>
    <xf numFmtId="0" fontId="23" fillId="0" borderId="0" xfId="58" applyFont="1" applyProtection="1">
      <alignment/>
      <protection hidden="1"/>
    </xf>
    <xf numFmtId="178" fontId="13" fillId="0" borderId="0" xfId="42" applyNumberFormat="1" applyFont="1" applyBorder="1" applyAlignment="1" applyProtection="1">
      <alignment/>
      <protection hidden="1"/>
    </xf>
    <xf numFmtId="0" fontId="24" fillId="0" borderId="0" xfId="42" applyNumberFormat="1" applyFont="1" applyFill="1" applyBorder="1" applyAlignment="1" applyProtection="1">
      <alignment horizontal="center"/>
      <protection hidden="1"/>
    </xf>
    <xf numFmtId="0" fontId="13" fillId="0" borderId="0" xfId="58" applyFont="1" applyProtection="1">
      <alignment/>
      <protection hidden="1"/>
    </xf>
    <xf numFmtId="0" fontId="14" fillId="0" borderId="0" xfId="58" applyFont="1" applyBorder="1" applyProtection="1">
      <alignment/>
      <protection hidden="1"/>
    </xf>
    <xf numFmtId="0" fontId="25" fillId="0" borderId="0" xfId="42" applyNumberFormat="1" applyFont="1" applyFill="1" applyBorder="1" applyAlignment="1" applyProtection="1">
      <alignment horizontal="center"/>
      <protection hidden="1"/>
    </xf>
    <xf numFmtId="0" fontId="14" fillId="0" borderId="11" xfId="58" applyFont="1" applyBorder="1" applyProtection="1">
      <alignment/>
      <protection hidden="1"/>
    </xf>
    <xf numFmtId="178" fontId="14" fillId="0" borderId="11" xfId="42" applyNumberFormat="1" applyFont="1" applyBorder="1" applyAlignment="1" applyProtection="1">
      <alignment/>
      <protection hidden="1"/>
    </xf>
    <xf numFmtId="0" fontId="19" fillId="0" borderId="11" xfId="42" applyNumberFormat="1" applyFont="1" applyFill="1" applyBorder="1" applyAlignment="1" applyProtection="1">
      <alignment horizontal="center"/>
      <protection hidden="1"/>
    </xf>
    <xf numFmtId="0" fontId="19" fillId="0" borderId="11" xfId="42" applyNumberFormat="1" applyFont="1" applyBorder="1" applyAlignment="1" applyProtection="1">
      <alignment horizontal="center"/>
      <protection hidden="1"/>
    </xf>
    <xf numFmtId="0" fontId="23" fillId="0" borderId="11" xfId="58" applyFont="1" applyBorder="1" applyProtection="1">
      <alignment/>
      <protection hidden="1"/>
    </xf>
    <xf numFmtId="0" fontId="14" fillId="0" borderId="0" xfId="58" applyFont="1" applyProtection="1">
      <alignment/>
      <protection hidden="1"/>
    </xf>
    <xf numFmtId="0" fontId="19" fillId="0" borderId="0" xfId="42" applyNumberFormat="1" applyFont="1" applyAlignment="1" applyProtection="1">
      <alignment horizontal="center"/>
      <protection hidden="1"/>
    </xf>
    <xf numFmtId="0" fontId="23" fillId="0" borderId="0" xfId="58" applyFont="1" applyProtection="1">
      <alignment/>
      <protection hidden="1"/>
    </xf>
    <xf numFmtId="178" fontId="13" fillId="34" borderId="12" xfId="42" applyNumberFormat="1" applyFont="1" applyFill="1" applyBorder="1" applyAlignment="1" applyProtection="1">
      <alignment/>
      <protection hidden="1"/>
    </xf>
    <xf numFmtId="178" fontId="14" fillId="0" borderId="0" xfId="42" applyNumberFormat="1" applyFont="1" applyAlignment="1" applyProtection="1">
      <alignment/>
      <protection hidden="1"/>
    </xf>
    <xf numFmtId="0" fontId="8" fillId="0" borderId="0" xfId="58" applyFont="1" applyBorder="1" applyProtection="1">
      <alignment/>
      <protection hidden="1"/>
    </xf>
    <xf numFmtId="178" fontId="8" fillId="34" borderId="12" xfId="42" applyNumberFormat="1" applyFont="1" applyFill="1" applyBorder="1" applyAlignment="1" applyProtection="1">
      <alignment/>
      <protection hidden="1"/>
    </xf>
    <xf numFmtId="0" fontId="17" fillId="0" borderId="0" xfId="42" applyNumberFormat="1" applyFont="1" applyFill="1" applyBorder="1" applyAlignment="1" applyProtection="1">
      <alignment horizontal="center"/>
      <protection hidden="1"/>
    </xf>
    <xf numFmtId="178" fontId="16" fillId="0" borderId="0" xfId="42" applyNumberFormat="1" applyFont="1" applyAlignment="1" applyProtection="1">
      <alignment/>
      <protection hidden="1"/>
    </xf>
    <xf numFmtId="0" fontId="17" fillId="0" borderId="0" xfId="42" applyNumberFormat="1" applyFont="1" applyAlignment="1" applyProtection="1">
      <alignment horizontal="center"/>
      <protection hidden="1"/>
    </xf>
    <xf numFmtId="0" fontId="18" fillId="0" borderId="0" xfId="58" applyFont="1" applyProtection="1">
      <alignment/>
      <protection hidden="1"/>
    </xf>
    <xf numFmtId="178" fontId="14" fillId="0" borderId="0" xfId="42" applyNumberFormat="1" applyFont="1" applyBorder="1" applyAlignment="1" applyProtection="1">
      <alignment/>
      <protection hidden="1"/>
    </xf>
    <xf numFmtId="0" fontId="20" fillId="0" borderId="0" xfId="42" applyNumberFormat="1" applyFont="1" applyFill="1" applyBorder="1" applyAlignment="1" applyProtection="1">
      <alignment horizontal="center"/>
      <protection hidden="1"/>
    </xf>
    <xf numFmtId="0" fontId="26" fillId="0" borderId="0" xfId="58" applyFont="1" applyProtection="1">
      <alignment/>
      <protection hidden="1"/>
    </xf>
    <xf numFmtId="0" fontId="26" fillId="0" borderId="0" xfId="58" applyFont="1" applyBorder="1" applyProtection="1">
      <alignment/>
      <protection hidden="1"/>
    </xf>
    <xf numFmtId="178" fontId="26" fillId="0" borderId="0" xfId="42" applyNumberFormat="1" applyFont="1" applyBorder="1" applyAlignment="1" applyProtection="1">
      <alignment/>
      <protection hidden="1"/>
    </xf>
    <xf numFmtId="0" fontId="25" fillId="0" borderId="0" xfId="42" applyNumberFormat="1" applyFont="1" applyBorder="1" applyAlignment="1" applyProtection="1">
      <alignment horizontal="center"/>
      <protection hidden="1"/>
    </xf>
    <xf numFmtId="0" fontId="13" fillId="0" borderId="0" xfId="58" applyFont="1" applyFill="1" applyBorder="1" applyAlignment="1" applyProtection="1">
      <alignment wrapText="1"/>
      <protection hidden="1"/>
    </xf>
    <xf numFmtId="0" fontId="19" fillId="0" borderId="0" xfId="42" applyNumberFormat="1" applyFont="1" applyFill="1" applyAlignment="1" applyProtection="1">
      <alignment horizontal="center"/>
      <protection hidden="1"/>
    </xf>
    <xf numFmtId="0" fontId="21" fillId="0" borderId="0" xfId="58" applyFont="1" applyProtection="1">
      <alignment/>
      <protection hidden="1"/>
    </xf>
    <xf numFmtId="0" fontId="15" fillId="0" borderId="0" xfId="58" applyFont="1" applyProtection="1">
      <alignment/>
      <protection hidden="1"/>
    </xf>
    <xf numFmtId="178" fontId="15" fillId="0" borderId="0" xfId="42" applyNumberFormat="1" applyFont="1" applyAlignment="1" applyProtection="1">
      <alignment/>
      <protection hidden="1"/>
    </xf>
    <xf numFmtId="0" fontId="27" fillId="0" borderId="0" xfId="42" applyNumberFormat="1" applyFont="1" applyFill="1" applyAlignment="1" applyProtection="1">
      <alignment horizontal="center"/>
      <protection hidden="1"/>
    </xf>
    <xf numFmtId="0" fontId="27" fillId="0" borderId="0" xfId="42" applyNumberFormat="1" applyFont="1" applyAlignment="1" applyProtection="1">
      <alignment horizontal="center"/>
      <protection hidden="1"/>
    </xf>
    <xf numFmtId="0" fontId="28" fillId="0" borderId="0" xfId="58" applyFont="1" applyProtection="1">
      <alignment/>
      <protection hidden="1"/>
    </xf>
    <xf numFmtId="0" fontId="29" fillId="0" borderId="0" xfId="0" applyFont="1" applyAlignment="1" applyProtection="1">
      <alignment/>
      <protection hidden="1"/>
    </xf>
    <xf numFmtId="171" fontId="29" fillId="0" borderId="0" xfId="42" applyFont="1" applyAlignment="1" applyProtection="1">
      <alignment/>
      <protection hidden="1"/>
    </xf>
    <xf numFmtId="0" fontId="15" fillId="0" borderId="0" xfId="0" applyFont="1" applyAlignment="1" applyProtection="1">
      <alignment wrapText="1"/>
      <protection hidden="1"/>
    </xf>
    <xf numFmtId="0" fontId="5" fillId="0" borderId="0" xfId="0" applyFont="1" applyAlignment="1" applyProtection="1">
      <alignment horizontal="center" wrapText="1"/>
      <protection hidden="1"/>
    </xf>
    <xf numFmtId="171" fontId="5" fillId="0" borderId="0" xfId="42" applyFont="1" applyBorder="1" applyAlignment="1" applyProtection="1">
      <alignment horizontal="center" wrapText="1"/>
      <protection hidden="1"/>
    </xf>
    <xf numFmtId="173" fontId="14" fillId="0" borderId="0" xfId="62" applyNumberFormat="1" applyFont="1" applyAlignment="1" applyProtection="1">
      <alignment/>
      <protection hidden="1"/>
    </xf>
    <xf numFmtId="171" fontId="29" fillId="0" borderId="0" xfId="0" applyNumberFormat="1" applyFont="1" applyAlignment="1" applyProtection="1">
      <alignment/>
      <protection hidden="1"/>
    </xf>
    <xf numFmtId="0" fontId="14" fillId="0" borderId="0" xfId="59" applyFont="1" applyProtection="1">
      <alignment/>
      <protection hidden="1"/>
    </xf>
    <xf numFmtId="171" fontId="14" fillId="0" borderId="0" xfId="42" applyFont="1" applyAlignment="1" applyProtection="1">
      <alignment/>
      <protection hidden="1"/>
    </xf>
    <xf numFmtId="0" fontId="29" fillId="0" borderId="0" xfId="59" applyFont="1" applyProtection="1">
      <alignment/>
      <protection hidden="1"/>
    </xf>
    <xf numFmtId="171" fontId="29" fillId="0" borderId="0" xfId="42" applyFont="1" applyAlignment="1" applyProtection="1">
      <alignment/>
      <protection hidden="1"/>
    </xf>
    <xf numFmtId="193" fontId="29" fillId="0" borderId="0" xfId="42" applyNumberFormat="1" applyFont="1" applyAlignment="1" applyProtection="1">
      <alignment/>
      <protection hidden="1"/>
    </xf>
    <xf numFmtId="204" fontId="29" fillId="0" borderId="0" xfId="59" applyNumberFormat="1" applyFont="1" applyProtection="1">
      <alignment/>
      <protection hidden="1"/>
    </xf>
    <xf numFmtId="0" fontId="6" fillId="0" borderId="0" xfId="59" applyFont="1" applyAlignment="1" applyProtection="1">
      <alignment horizontal="center" wrapText="1"/>
      <protection hidden="1"/>
    </xf>
    <xf numFmtId="173" fontId="6" fillId="0" borderId="0" xfId="62" applyNumberFormat="1" applyFont="1" applyAlignment="1" applyProtection="1">
      <alignment horizontal="center" wrapText="1"/>
      <protection hidden="1"/>
    </xf>
    <xf numFmtId="171" fontId="5" fillId="0" borderId="0" xfId="42" applyFont="1" applyAlignment="1" applyProtection="1">
      <alignment horizontal="center" wrapText="1"/>
      <protection hidden="1"/>
    </xf>
    <xf numFmtId="193" fontId="5" fillId="0" borderId="0" xfId="42" applyNumberFormat="1" applyFont="1" applyAlignment="1" applyProtection="1">
      <alignment horizontal="center" wrapText="1"/>
      <protection hidden="1"/>
    </xf>
    <xf numFmtId="204" fontId="5" fillId="0" borderId="0" xfId="59" applyNumberFormat="1" applyFont="1" applyAlignment="1" applyProtection="1">
      <alignment horizontal="center" wrapText="1"/>
      <protection hidden="1"/>
    </xf>
    <xf numFmtId="0" fontId="14" fillId="0" borderId="0" xfId="59" applyFont="1" applyAlignment="1" applyProtection="1">
      <alignment horizontal="center"/>
      <protection hidden="1"/>
    </xf>
    <xf numFmtId="171" fontId="14" fillId="0" borderId="0" xfId="42" applyNumberFormat="1" applyFont="1" applyAlignment="1" applyProtection="1">
      <alignment/>
      <protection hidden="1"/>
    </xf>
    <xf numFmtId="10" fontId="14" fillId="0" borderId="0" xfId="62" applyNumberFormat="1" applyFont="1" applyAlignment="1" applyProtection="1">
      <alignment/>
      <protection hidden="1"/>
    </xf>
    <xf numFmtId="171" fontId="29" fillId="0" borderId="0" xfId="59" applyNumberFormat="1" applyFont="1" applyProtection="1">
      <alignment/>
      <protection hidden="1"/>
    </xf>
    <xf numFmtId="0" fontId="14" fillId="0" borderId="0" xfId="0" applyFont="1" applyAlignment="1" applyProtection="1">
      <alignment horizontal="center"/>
      <protection hidden="1"/>
    </xf>
    <xf numFmtId="0" fontId="74" fillId="0" borderId="0" xfId="0" applyFont="1" applyAlignment="1" applyProtection="1">
      <alignment/>
      <protection hidden="1"/>
    </xf>
    <xf numFmtId="0" fontId="74" fillId="0" borderId="0" xfId="0" applyFont="1" applyAlignment="1" applyProtection="1">
      <alignment horizontal="right"/>
      <protection hidden="1"/>
    </xf>
    <xf numFmtId="0" fontId="30" fillId="0" borderId="0" xfId="0" applyFont="1" applyAlignment="1" applyProtection="1">
      <alignment/>
      <protection hidden="1"/>
    </xf>
    <xf numFmtId="0" fontId="6" fillId="34" borderId="10" xfId="57" applyFont="1" applyFill="1" applyBorder="1" applyAlignment="1" applyProtection="1">
      <alignment horizontal="center" wrapText="1"/>
      <protection hidden="1"/>
    </xf>
    <xf numFmtId="171" fontId="6" fillId="34" borderId="10" xfId="42" applyFont="1" applyFill="1" applyBorder="1" applyAlignment="1" applyProtection="1">
      <alignment horizontal="center" wrapText="1"/>
      <protection hidden="1"/>
    </xf>
    <xf numFmtId="10" fontId="6" fillId="34" borderId="10" xfId="62" applyNumberFormat="1" applyFont="1" applyFill="1" applyBorder="1" applyAlignment="1" applyProtection="1">
      <alignment horizontal="center" wrapText="1"/>
      <protection hidden="1"/>
    </xf>
    <xf numFmtId="0" fontId="8" fillId="0" borderId="0" xfId="0" applyFont="1" applyAlignment="1" applyProtection="1">
      <alignment horizontal="left"/>
      <protection hidden="1"/>
    </xf>
    <xf numFmtId="0" fontId="6" fillId="34" borderId="10" xfId="0" applyFont="1" applyFill="1" applyBorder="1" applyAlignment="1" applyProtection="1">
      <alignment horizontal="center" wrapText="1"/>
      <protection hidden="1"/>
    </xf>
    <xf numFmtId="171" fontId="6" fillId="34" borderId="10" xfId="42" applyFont="1" applyFill="1" applyBorder="1" applyAlignment="1" applyProtection="1">
      <alignment horizontal="center" wrapText="1"/>
      <protection hidden="1"/>
    </xf>
    <xf numFmtId="173" fontId="6" fillId="34" borderId="10" xfId="62" applyNumberFormat="1" applyFont="1" applyFill="1" applyBorder="1" applyAlignment="1" applyProtection="1">
      <alignment horizontal="center" wrapText="1"/>
      <protection hidden="1"/>
    </xf>
    <xf numFmtId="0" fontId="74" fillId="35" borderId="10" xfId="0" applyFont="1" applyFill="1" applyBorder="1" applyAlignment="1" applyProtection="1">
      <alignment/>
      <protection hidden="1"/>
    </xf>
    <xf numFmtId="0" fontId="8" fillId="0" borderId="0" xfId="0" applyFont="1" applyAlignment="1" applyProtection="1">
      <alignment/>
      <protection hidden="1"/>
    </xf>
    <xf numFmtId="10" fontId="14" fillId="33" borderId="10" xfId="0" applyNumberFormat="1" applyFont="1" applyFill="1" applyBorder="1"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rmal_Max Bond Amount" xfId="58"/>
    <cellStyle name="Normal_Web Site Outlay"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2.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FFFF"/>
                </a:solidFill>
                <a:latin typeface="Arial"/>
                <a:ea typeface="Arial"/>
                <a:cs typeface="Arial"/>
              </a:rPr>
              <a:t>Increased Instalment - Interest Saving</a:t>
            </a:r>
          </a:p>
        </c:rich>
      </c:tx>
      <c:layout>
        <c:manualLayout>
          <c:xMode val="factor"/>
          <c:yMode val="factor"/>
          <c:x val="0"/>
          <c:y val="0"/>
        </c:manualLayout>
      </c:layout>
      <c:spPr>
        <a:noFill/>
        <a:ln>
          <a:noFill/>
        </a:ln>
      </c:spPr>
    </c:title>
    <c:plotArea>
      <c:layout>
        <c:manualLayout>
          <c:xMode val="edge"/>
          <c:yMode val="edge"/>
          <c:x val="0"/>
          <c:y val="0.11025"/>
          <c:w val="0.9865"/>
          <c:h val="0.88975"/>
        </c:manualLayout>
      </c:layout>
      <c:areaChart>
        <c:grouping val="standard"/>
        <c:varyColors val="0"/>
        <c:ser>
          <c:idx val="1"/>
          <c:order val="0"/>
          <c:tx>
            <c:strRef>
              <c:f>AnnualAmort!$I$3</c:f>
              <c:strCache>
                <c:ptCount val="1"/>
                <c:pt idx="0">
                  <c:v>Amortization</c:v>
                </c:pt>
              </c:strCache>
            </c:strRef>
          </c:tx>
          <c:spPr>
            <a:solidFill>
              <a:srgbClr val="008000"/>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val>
            <c:numRef>
              <c:f>AnnualAmort!$I$4:$I$33</c:f>
              <c:numCache>
                <c:ptCount val="30"/>
                <c:pt idx="0">
                  <c:v>101760.48975242092</c:v>
                </c:pt>
                <c:pt idx="1">
                  <c:v>201797.75186730485</c:v>
                </c:pt>
                <c:pt idx="2">
                  <c:v>299926.6166775108</c:v>
                </c:pt>
                <c:pt idx="3">
                  <c:v>395942.01708338095</c:v>
                </c:pt>
                <c:pt idx="4">
                  <c:v>489616.8504713428</c:v>
                </c:pt>
                <c:pt idx="5">
                  <c:v>580699.6108846752</c:v>
                </c:pt>
                <c:pt idx="6">
                  <c:v>668911.7667588523</c:v>
                </c:pt>
                <c:pt idx="7">
                  <c:v>753944.8568810722</c:v>
                </c:pt>
                <c:pt idx="8">
                  <c:v>835457.274295709</c:v>
                </c:pt>
                <c:pt idx="9">
                  <c:v>913070.704623876</c:v>
                </c:pt>
                <c:pt idx="10">
                  <c:v>986366.1816621178</c:v>
                </c:pt>
                <c:pt idx="11">
                  <c:v>1054879.7191349077</c:v>
                </c:pt>
                <c:pt idx="12">
                  <c:v>1118097.4730564975</c:v>
                </c:pt>
                <c:pt idx="13">
                  <c:v>1175450.384263684</c:v>
                </c:pt>
                <c:pt idx="14">
                  <c:v>1226308.245261181</c:v>
                </c:pt>
                <c:pt idx="15">
                  <c:v>1269973.1295190312</c:v>
                </c:pt>
                <c:pt idx="16">
                  <c:v>1305672.1147142523</c:v>
                </c:pt>
                <c:pt idx="17">
                  <c:v>1332549.2240473928</c:v>
                </c:pt>
                <c:pt idx="18">
                  <c:v>1349656.501612131</c:v>
                </c:pt>
                <c:pt idx="19">
                  <c:v>1355944.1287674638</c:v>
                </c:pt>
                <c:pt idx="20">
                  <c:v>1355944.1287674638</c:v>
                </c:pt>
                <c:pt idx="21">
                  <c:v>1355944.1287674638</c:v>
                </c:pt>
                <c:pt idx="22">
                  <c:v>1355944.1287674638</c:v>
                </c:pt>
                <c:pt idx="23">
                  <c:v>1355944.1287674638</c:v>
                </c:pt>
                <c:pt idx="24">
                  <c:v>1355944.1287674638</c:v>
                </c:pt>
                <c:pt idx="25">
                  <c:v>1355944.1287674638</c:v>
                </c:pt>
                <c:pt idx="26">
                  <c:v>1355944.1287674638</c:v>
                </c:pt>
                <c:pt idx="27">
                  <c:v>1355944.1287674638</c:v>
                </c:pt>
                <c:pt idx="28">
                  <c:v>1355944.1287674638</c:v>
                </c:pt>
                <c:pt idx="29">
                  <c:v>1355944.1287674638</c:v>
                </c:pt>
              </c:numCache>
            </c:numRef>
          </c:val>
        </c:ser>
        <c:ser>
          <c:idx val="2"/>
          <c:order val="1"/>
          <c:tx>
            <c:strRef>
              <c:f>AnnualAmort!$J$3</c:f>
              <c:strCache>
                <c:ptCount val="1"/>
                <c:pt idx="0">
                  <c:v>Increased Instalment</c:v>
                </c:pt>
              </c:strCache>
            </c:strRef>
          </c:tx>
          <c:spPr>
            <a:solidFill>
              <a:srgbClr val="FFCC00"/>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val>
            <c:numRef>
              <c:f>AnnualAmort!$J$4:$J$33</c:f>
              <c:numCache>
                <c:ptCount val="30"/>
                <c:pt idx="0">
                  <c:v>100600.26183672933</c:v>
                </c:pt>
                <c:pt idx="1">
                  <c:v>196773.70022138505</c:v>
                </c:pt>
                <c:pt idx="2">
                  <c:v>288044.63021991873</c:v>
                </c:pt>
                <c:pt idx="3">
                  <c:v>373886.25210707093</c:v>
                </c:pt>
                <c:pt idx="4">
                  <c:v>453715.1588193228</c:v>
                </c:pt>
                <c:pt idx="5">
                  <c:v>526885.253205435</c:v>
                </c:pt>
                <c:pt idx="6">
                  <c:v>592681.0116542915</c:v>
                </c:pt>
                <c:pt idx="7">
                  <c:v>650310.0238649301</c:v>
                </c:pt>
                <c:pt idx="8">
                  <c:v>698894.7309765164</c:v>
                </c:pt>
                <c:pt idx="9">
                  <c:v>737463.2759179171</c:v>
                </c:pt>
                <c:pt idx="10">
                  <c:v>764939.3705803055</c:v>
                </c:pt>
                <c:pt idx="11">
                  <c:v>780131.074165379</c:v>
                </c:pt>
                <c:pt idx="12">
                  <c:v>782800.6780033411</c:v>
                </c:pt>
                <c:pt idx="13">
                  <c:v>782800.6780033411</c:v>
                </c:pt>
                <c:pt idx="14">
                  <c:v>782800.6780033411</c:v>
                </c:pt>
                <c:pt idx="15">
                  <c:v>782800.6780033411</c:v>
                </c:pt>
                <c:pt idx="16">
                  <c:v>782800.6780033411</c:v>
                </c:pt>
                <c:pt idx="17">
                  <c:v>782800.6780033411</c:v>
                </c:pt>
                <c:pt idx="18">
                  <c:v>782800.6780033411</c:v>
                </c:pt>
                <c:pt idx="19">
                  <c:v>782800.6780033411</c:v>
                </c:pt>
                <c:pt idx="20">
                  <c:v>782800.6780033411</c:v>
                </c:pt>
                <c:pt idx="21">
                  <c:v>782800.6780033411</c:v>
                </c:pt>
                <c:pt idx="22">
                  <c:v>782800.6780033411</c:v>
                </c:pt>
                <c:pt idx="23">
                  <c:v>782800.6780033411</c:v>
                </c:pt>
                <c:pt idx="24">
                  <c:v>782800.6780033411</c:v>
                </c:pt>
                <c:pt idx="25">
                  <c:v>782800.6780033411</c:v>
                </c:pt>
                <c:pt idx="26">
                  <c:v>782800.6780033411</c:v>
                </c:pt>
                <c:pt idx="27">
                  <c:v>782800.6780033411</c:v>
                </c:pt>
                <c:pt idx="28">
                  <c:v>782800.6780033411</c:v>
                </c:pt>
                <c:pt idx="29">
                  <c:v>782800.6780033411</c:v>
                </c:pt>
              </c:numCache>
            </c:numRef>
          </c:val>
        </c:ser>
        <c:axId val="13339175"/>
        <c:axId val="52943712"/>
      </c:areaChart>
      <c:catAx>
        <c:axId val="13339175"/>
        <c:scaling>
          <c:orientation val="minMax"/>
        </c:scaling>
        <c:axPos val="b"/>
        <c:title>
          <c:tx>
            <c:rich>
              <a:bodyPr vert="horz" rot="0" anchor="ctr"/>
              <a:lstStyle/>
              <a:p>
                <a:pPr algn="ctr">
                  <a:defRPr/>
                </a:pPr>
                <a:r>
                  <a:rPr lang="en-US" cap="none" sz="900" b="1" i="0" u="none" baseline="0">
                    <a:solidFill>
                      <a:srgbClr val="FFFFFF"/>
                    </a:solidFill>
                    <a:latin typeface="Arial"/>
                    <a:ea typeface="Arial"/>
                    <a:cs typeface="Arial"/>
                  </a:rPr>
                  <a:t>Years</a:t>
                </a:r>
              </a:p>
            </c:rich>
          </c:tx>
          <c:layout>
            <c:manualLayout>
              <c:xMode val="factor"/>
              <c:yMode val="factor"/>
              <c:x val="0.02325"/>
              <c:y val="-0.14025"/>
            </c:manualLayout>
          </c:layout>
          <c:overlay val="0"/>
          <c:spPr>
            <a:noFill/>
            <a:ln>
              <a:noFill/>
            </a:ln>
          </c:spPr>
        </c:title>
        <c:delete val="0"/>
        <c:numFmt formatCode="General" sourceLinked="1"/>
        <c:majorTickMark val="out"/>
        <c:minorTickMark val="none"/>
        <c:tickLblPos val="nextTo"/>
        <c:spPr>
          <a:ln w="3175">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52943712"/>
        <c:crosses val="autoZero"/>
        <c:auto val="1"/>
        <c:lblOffset val="100"/>
        <c:tickLblSkip val="3"/>
        <c:noMultiLvlLbl val="0"/>
      </c:catAx>
      <c:valAx>
        <c:axId val="52943712"/>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13339175"/>
        <c:crossesAt val="1"/>
        <c:crossBetween val="midCat"/>
        <c:dispUnits/>
      </c:valAx>
      <c:spPr>
        <a:solidFill>
          <a:srgbClr val="FFFFFF"/>
        </a:solidFill>
        <a:ln w="12700">
          <a:solidFill>
            <a:srgbClr val="FFFFFF"/>
          </a:solidFill>
        </a:ln>
      </c:spPr>
    </c:plotArea>
    <c:legend>
      <c:legendPos val="r"/>
      <c:layout>
        <c:manualLayout>
          <c:xMode val="edge"/>
          <c:yMode val="edge"/>
          <c:x val="0.75675"/>
          <c:y val="0"/>
          <c:w val="0.23875"/>
          <c:h val="0.175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630" b="0" i="0" u="none" baseline="0">
              <a:solidFill>
                <a:srgbClr val="000000"/>
              </a:solidFill>
              <a:latin typeface="Arial"/>
              <a:ea typeface="Arial"/>
              <a:cs typeface="Arial"/>
            </a:defRPr>
          </a:pPr>
        </a:p>
      </c:txPr>
    </c:legend>
    <c:plotVisOnly val="1"/>
    <c:dispBlanksAs val="zero"/>
    <c:showDLblsOverMax val="0"/>
  </c:chart>
  <c:spPr>
    <a:blipFill>
      <a:blip r:embed="rId1"/>
      <a:srcRect/>
      <a:tile sx="100000" sy="100000" flip="none" algn="tl"/>
    </a:blip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2125"/>
        </c:manualLayout>
      </c:layout>
      <c:spPr>
        <a:noFill/>
        <a:ln>
          <a:noFill/>
        </a:ln>
      </c:spPr>
      <c:txPr>
        <a:bodyPr vert="horz" rot="0"/>
        <a:lstStyle/>
        <a:p>
          <a:pPr>
            <a:defRPr lang="en-US" cap="none" sz="1100" b="1" i="0" u="none" baseline="0">
              <a:solidFill>
                <a:srgbClr val="FFFFFF"/>
              </a:solidFill>
              <a:latin typeface="Arial"/>
              <a:ea typeface="Arial"/>
              <a:cs typeface="Arial"/>
            </a:defRPr>
          </a:pPr>
        </a:p>
      </c:txPr>
    </c:title>
    <c:plotArea>
      <c:layout>
        <c:manualLayout>
          <c:xMode val="edge"/>
          <c:yMode val="edge"/>
          <c:x val="0"/>
          <c:y val="0.0725"/>
          <c:w val="0.992"/>
          <c:h val="0.9275"/>
        </c:manualLayout>
      </c:layout>
      <c:areaChart>
        <c:grouping val="standard"/>
        <c:varyColors val="0"/>
        <c:ser>
          <c:idx val="1"/>
          <c:order val="0"/>
          <c:tx>
            <c:strRef>
              <c:f>AnnualAmort!$K$3</c:f>
              <c:strCache>
                <c:ptCount val="1"/>
                <c:pt idx="0">
                  <c:v>Capital Repayment</c:v>
                </c:pt>
              </c:strCache>
            </c:strRef>
          </c:tx>
          <c:spPr>
            <a:solidFill>
              <a:srgbClr val="008000"/>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val>
            <c:numRef>
              <c:f>AnnualAmort!$K$4:$K$33</c:f>
              <c:numCache>
                <c:ptCount val="30"/>
                <c:pt idx="0">
                  <c:v>16036.716685952384</c:v>
                </c:pt>
                <c:pt idx="1">
                  <c:v>33796.661009441785</c:v>
                </c:pt>
                <c:pt idx="2">
                  <c:v>53465.00263760915</c:v>
                </c:pt>
                <c:pt idx="3">
                  <c:v>75246.80867011228</c:v>
                </c:pt>
                <c:pt idx="4">
                  <c:v>99369.18172052372</c:v>
                </c:pt>
                <c:pt idx="5">
                  <c:v>126083.62774556466</c:v>
                </c:pt>
                <c:pt idx="6">
                  <c:v>155668.67830976087</c:v>
                </c:pt>
                <c:pt idx="7">
                  <c:v>188432.79462591436</c:v>
                </c:pt>
                <c:pt idx="8">
                  <c:v>224717.58364965086</c:v>
                </c:pt>
                <c:pt idx="9">
                  <c:v>264901.3597598571</c:v>
                </c:pt>
                <c:pt idx="10">
                  <c:v>309403.0891599886</c:v>
                </c:pt>
                <c:pt idx="11">
                  <c:v>358686.7581255722</c:v>
                </c:pt>
                <c:pt idx="12">
                  <c:v>413266.21064235555</c:v>
                </c:pt>
                <c:pt idx="13">
                  <c:v>473710.50587354245</c:v>
                </c:pt>
                <c:pt idx="14">
                  <c:v>540649.851314419</c:v>
                </c:pt>
                <c:pt idx="15">
                  <c:v>614782.173494942</c:v>
                </c:pt>
                <c:pt idx="16">
                  <c:v>696880.3947380941</c:v>
                </c:pt>
                <c:pt idx="17">
                  <c:v>787800.4918433267</c:v>
                </c:pt>
                <c:pt idx="18">
                  <c:v>888490.4207169618</c:v>
                </c:pt>
                <c:pt idx="19">
                  <c:v>999999.9999999993</c:v>
                </c:pt>
                <c:pt idx="20">
                  <c:v>999999.9999999993</c:v>
                </c:pt>
                <c:pt idx="21">
                  <c:v>999999.9999999993</c:v>
                </c:pt>
                <c:pt idx="22">
                  <c:v>999999.9999999993</c:v>
                </c:pt>
                <c:pt idx="23">
                  <c:v>999999.9999999993</c:v>
                </c:pt>
                <c:pt idx="24">
                  <c:v>999999.9999999993</c:v>
                </c:pt>
                <c:pt idx="25">
                  <c:v>999999.9999999993</c:v>
                </c:pt>
                <c:pt idx="26">
                  <c:v>999999.9999999993</c:v>
                </c:pt>
                <c:pt idx="27">
                  <c:v>999999.9999999993</c:v>
                </c:pt>
                <c:pt idx="28">
                  <c:v>999999.9999999993</c:v>
                </c:pt>
                <c:pt idx="29">
                  <c:v>999999.9999999993</c:v>
                </c:pt>
              </c:numCache>
            </c:numRef>
          </c:val>
        </c:ser>
        <c:axId val="6731361"/>
        <c:axId val="60582250"/>
      </c:areaChart>
      <c:catAx>
        <c:axId val="6731361"/>
        <c:scaling>
          <c:orientation val="minMax"/>
        </c:scaling>
        <c:axPos val="b"/>
        <c:title>
          <c:tx>
            <c:rich>
              <a:bodyPr vert="horz" rot="0" anchor="ctr"/>
              <a:lstStyle/>
              <a:p>
                <a:pPr algn="ctr">
                  <a:defRPr/>
                </a:pPr>
                <a:r>
                  <a:rPr lang="en-US" cap="none" sz="900" b="1" i="0" u="none" baseline="0">
                    <a:solidFill>
                      <a:srgbClr val="FFFFFF"/>
                    </a:solidFill>
                    <a:latin typeface="Arial"/>
                    <a:ea typeface="Arial"/>
                    <a:cs typeface="Arial"/>
                  </a:rPr>
                  <a:t>Years</a:t>
                </a:r>
              </a:p>
            </c:rich>
          </c:tx>
          <c:layout>
            <c:manualLayout>
              <c:xMode val="factor"/>
              <c:yMode val="factor"/>
              <c:x val="0.023"/>
              <c:y val="-0.137"/>
            </c:manualLayout>
          </c:layout>
          <c:overlay val="0"/>
          <c:spPr>
            <a:noFill/>
            <a:ln>
              <a:noFill/>
            </a:ln>
          </c:spPr>
        </c:title>
        <c:delete val="0"/>
        <c:numFmt formatCode="General" sourceLinked="1"/>
        <c:majorTickMark val="out"/>
        <c:minorTickMark val="none"/>
        <c:tickLblPos val="nextTo"/>
        <c:spPr>
          <a:ln w="12700">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60582250"/>
        <c:crosses val="autoZero"/>
        <c:auto val="1"/>
        <c:lblOffset val="100"/>
        <c:tickLblSkip val="3"/>
        <c:noMultiLvlLbl val="0"/>
      </c:catAx>
      <c:valAx>
        <c:axId val="60582250"/>
        <c:scaling>
          <c:orientation val="minMax"/>
        </c:scaling>
        <c:axPos val="l"/>
        <c:majorGridlines>
          <c:spPr>
            <a:ln w="3175">
              <a:solidFill>
                <a:srgbClr val="C0C0C0"/>
              </a:solidFill>
            </a:ln>
          </c:spPr>
        </c:majorGridlines>
        <c:delete val="0"/>
        <c:numFmt formatCode="#,##0_ ;\-#,##0\ " sourceLinked="0"/>
        <c:majorTickMark val="out"/>
        <c:minorTickMark val="none"/>
        <c:tickLblPos val="nextTo"/>
        <c:spPr>
          <a:ln w="12700">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6731361"/>
        <c:crossesAt val="1"/>
        <c:crossBetween val="midCat"/>
        <c:dispUnits/>
      </c:valAx>
      <c:spPr>
        <a:solidFill>
          <a:srgbClr val="FFFFFF"/>
        </a:solidFill>
        <a:ln w="12700">
          <a:solidFill>
            <a:srgbClr val="FFFFFF"/>
          </a:solidFill>
        </a:ln>
      </c:spPr>
    </c:plotArea>
    <c:legend>
      <c:legendPos val="r"/>
      <c:layout>
        <c:manualLayout>
          <c:xMode val="edge"/>
          <c:yMode val="edge"/>
          <c:x val="0.7255"/>
          <c:y val="0.064"/>
          <c:w val="0.22925"/>
          <c:h val="0.074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630" b="0" i="0" u="none" baseline="0">
              <a:solidFill>
                <a:srgbClr val="000000"/>
              </a:solidFill>
              <a:latin typeface="Arial"/>
              <a:ea typeface="Arial"/>
              <a:cs typeface="Arial"/>
            </a:defRPr>
          </a:pPr>
        </a:p>
      </c:txPr>
    </c:legend>
    <c:plotVisOnly val="1"/>
    <c:dispBlanksAs val="zero"/>
    <c:showDLblsOverMax val="0"/>
  </c:chart>
  <c:spPr>
    <a:blipFill>
      <a:blip r:embed="rId1"/>
      <a:srcRect/>
      <a:tile sx="100000" sy="100000" flip="none" algn="tl"/>
    </a:blip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21</xdr:row>
      <xdr:rowOff>28575</xdr:rowOff>
    </xdr:to>
    <xdr:sp>
      <xdr:nvSpPr>
        <xdr:cNvPr id="1" name="Rectangle 6"/>
        <xdr:cNvSpPr>
          <a:spLocks/>
        </xdr:cNvSpPr>
      </xdr:nvSpPr>
      <xdr:spPr>
        <a:xfrm>
          <a:off x="47625" y="47625"/>
          <a:ext cx="8210550" cy="3381375"/>
        </a:xfrm>
        <a:prstGeom prst="rect">
          <a:avLst/>
        </a:prstGeom>
        <a:gradFill rotWithShape="1">
          <a:gsLst>
            <a:gs pos="0">
              <a:srgbClr val="248202"/>
            </a:gs>
            <a:gs pos="100000">
              <a:srgbClr val="003200"/>
            </a:gs>
          </a:gsLst>
          <a:path path="rect">
            <a:fillToRect l="50000" t="50000" r="50000" b="50000"/>
          </a:path>
        </a:gradFill>
        <a:ln w="9525" cmpd="sng">
          <a:noFill/>
        </a:ln>
      </xdr:spPr>
      <xdr:txBody>
        <a:bodyPr vertOverflow="clip" wrap="square" lIns="108000" tIns="72000" rIns="108000" bIns="72000"/>
        <a:p>
          <a:pPr algn="just">
            <a:defRPr/>
          </a:pPr>
          <a:r>
            <a:rPr lang="en-US" cap="none" sz="1200" b="1" i="0" u="none" baseline="0">
              <a:solidFill>
                <a:srgbClr val="FFFF99"/>
              </a:solidFill>
              <a:latin typeface="Arial"/>
              <a:ea typeface="Arial"/>
              <a:cs typeface="Arial"/>
            </a:rPr>
            <a:t>Excel Skills | Bond Calculator Template</a:t>
          </a:r>
          <a:r>
            <a:rPr lang="en-US" cap="none" sz="1400" b="1" i="0" u="none" baseline="0">
              <a:solidFill>
                <a:srgbClr val="FFFF99"/>
              </a:solidFill>
              <a:latin typeface="Arial"/>
              <a:ea typeface="Arial"/>
              <a:cs typeface="Arial"/>
            </a:rPr>
            <a:t>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Bond calculators are sometimes also referred to as home loan calculators or mortgage calculators. The aim of this free Excel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also gain a better understanding of home loan amortization and specifically the timing of capital repayments on a bond.</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14</xdr:row>
      <xdr:rowOff>190500</xdr:rowOff>
    </xdr:from>
    <xdr:to>
      <xdr:col>8</xdr:col>
      <xdr:colOff>1038225</xdr:colOff>
      <xdr:row>30</xdr:row>
      <xdr:rowOff>104775</xdr:rowOff>
    </xdr:to>
    <xdr:graphicFrame>
      <xdr:nvGraphicFramePr>
        <xdr:cNvPr id="1" name="Chart 1"/>
        <xdr:cNvGraphicFramePr/>
      </xdr:nvGraphicFramePr>
      <xdr:xfrm>
        <a:off x="4857750" y="2867025"/>
        <a:ext cx="6191250" cy="2962275"/>
      </xdr:xfrm>
      <a:graphic>
        <a:graphicData uri="http://schemas.openxmlformats.org/drawingml/2006/chart">
          <c:chart xmlns:c="http://schemas.openxmlformats.org/drawingml/2006/chart" r:id="rId1"/>
        </a:graphicData>
      </a:graphic>
    </xdr:graphicFrame>
    <xdr:clientData/>
  </xdr:twoCellAnchor>
  <xdr:twoCellAnchor>
    <xdr:from>
      <xdr:col>3</xdr:col>
      <xdr:colOff>85725</xdr:colOff>
      <xdr:row>0</xdr:row>
      <xdr:rowOff>47625</xdr:rowOff>
    </xdr:from>
    <xdr:to>
      <xdr:col>8</xdr:col>
      <xdr:colOff>1038225</xdr:colOff>
      <xdr:row>14</xdr:row>
      <xdr:rowOff>133350</xdr:rowOff>
    </xdr:to>
    <xdr:graphicFrame>
      <xdr:nvGraphicFramePr>
        <xdr:cNvPr id="2" name="Chart 2"/>
        <xdr:cNvGraphicFramePr/>
      </xdr:nvGraphicFramePr>
      <xdr:xfrm>
        <a:off x="4857750" y="47625"/>
        <a:ext cx="6191250" cy="27622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11</xdr:row>
      <xdr:rowOff>57150</xdr:rowOff>
    </xdr:from>
    <xdr:to>
      <xdr:col>11</xdr:col>
      <xdr:colOff>123825</xdr:colOff>
      <xdr:row>20</xdr:row>
      <xdr:rowOff>152400</xdr:rowOff>
    </xdr:to>
    <xdr:sp>
      <xdr:nvSpPr>
        <xdr:cNvPr id="1" name="Rectangle 1"/>
        <xdr:cNvSpPr>
          <a:spLocks/>
        </xdr:cNvSpPr>
      </xdr:nvSpPr>
      <xdr:spPr>
        <a:xfrm>
          <a:off x="8429625" y="2162175"/>
          <a:ext cx="3886200" cy="180975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2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Simply enter the appropriate values in the yellow input cells in order to calculate your monthly net disposable income. All input values need to be entered as positive values and guidance on the user input that is required in all the input cells can be found from row 38 downwards.</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kills.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6" sqref="B26"/>
    </sheetView>
  </sheetViews>
  <sheetFormatPr defaultColWidth="9.140625" defaultRowHeight="12.75"/>
  <cols>
    <col min="1" max="18" width="15.7109375" style="0" customWidth="1"/>
  </cols>
  <sheetData/>
  <sheetProtection password="8FD9" sheet="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41"/>
  <sheetViews>
    <sheetView zoomScale="95" zoomScaleNormal="9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3.5" customHeight="1"/>
  <cols>
    <col min="1" max="1" width="106.28125" style="2" customWidth="1"/>
    <col min="2" max="35" width="25.7109375" style="2" customWidth="1"/>
    <col min="36" max="16384" width="9.140625" style="2" customWidth="1"/>
  </cols>
  <sheetData>
    <row r="1" ht="18" customHeight="1">
      <c r="A1" s="9" t="s">
        <v>147</v>
      </c>
    </row>
    <row r="2" ht="15">
      <c r="A2" s="10" t="s">
        <v>148</v>
      </c>
    </row>
    <row r="3" ht="13.5" customHeight="1">
      <c r="A3" s="11" t="s">
        <v>1</v>
      </c>
    </row>
    <row r="4" ht="13.5" customHeight="1">
      <c r="A4" s="12"/>
    </row>
    <row r="5" ht="63.75" customHeight="1">
      <c r="A5" s="1" t="s">
        <v>194</v>
      </c>
    </row>
    <row r="7" ht="12.75">
      <c r="A7" s="2" t="s">
        <v>195</v>
      </c>
    </row>
    <row r="8" s="1" customFormat="1" ht="13.5" customHeight="1">
      <c r="A8" s="2"/>
    </row>
    <row r="9" s="1" customFormat="1" ht="15">
      <c r="A9" s="3" t="s">
        <v>139</v>
      </c>
    </row>
    <row r="10" s="1" customFormat="1" ht="13.5" customHeight="1">
      <c r="A10" s="3"/>
    </row>
    <row r="11" s="1" customFormat="1" ht="38.25">
      <c r="A11" s="1" t="s">
        <v>201</v>
      </c>
    </row>
    <row r="12" s="1" customFormat="1" ht="13.5" customHeight="1"/>
    <row r="13" s="1" customFormat="1" ht="13.5" customHeight="1">
      <c r="A13" s="4" t="s">
        <v>145</v>
      </c>
    </row>
    <row r="14" s="1" customFormat="1" ht="13.5" customHeight="1">
      <c r="A14" s="4"/>
    </row>
    <row r="15" s="1" customFormat="1" ht="25.5">
      <c r="A15" s="5" t="s">
        <v>151</v>
      </c>
    </row>
    <row r="16" s="1" customFormat="1" ht="25.5">
      <c r="A16" s="5" t="s">
        <v>152</v>
      </c>
    </row>
    <row r="17" s="1" customFormat="1" ht="25.5">
      <c r="A17" s="5" t="s">
        <v>207</v>
      </c>
    </row>
    <row r="18" s="1" customFormat="1" ht="25.5">
      <c r="A18" s="1" t="s">
        <v>202</v>
      </c>
    </row>
    <row r="19" s="1" customFormat="1" ht="63.75">
      <c r="A19" s="1" t="s">
        <v>203</v>
      </c>
    </row>
    <row r="20" s="1" customFormat="1" ht="25.5">
      <c r="A20" s="1" t="s">
        <v>156</v>
      </c>
    </row>
    <row r="21" s="1" customFormat="1" ht="25.5">
      <c r="A21" s="1" t="s">
        <v>153</v>
      </c>
    </row>
    <row r="22" s="1" customFormat="1" ht="63.75">
      <c r="A22" s="1" t="s">
        <v>204</v>
      </c>
    </row>
    <row r="23" s="1" customFormat="1" ht="25.5">
      <c r="A23" s="1" t="s">
        <v>154</v>
      </c>
    </row>
    <row r="24" s="1" customFormat="1" ht="12.75" customHeight="1">
      <c r="A24" s="1" t="s">
        <v>155</v>
      </c>
    </row>
    <row r="25" s="1" customFormat="1" ht="25.5">
      <c r="A25" s="1" t="s">
        <v>205</v>
      </c>
    </row>
    <row r="26" s="1" customFormat="1" ht="13.5" customHeight="1"/>
    <row r="27" s="1" customFormat="1" ht="15">
      <c r="A27" s="6" t="s">
        <v>138</v>
      </c>
    </row>
    <row r="28" s="1" customFormat="1" ht="13.5" customHeight="1">
      <c r="A28" s="6"/>
    </row>
    <row r="29" s="1" customFormat="1" ht="38.25">
      <c r="A29" s="1" t="s">
        <v>149</v>
      </c>
    </row>
    <row r="30" s="1" customFormat="1" ht="13.5" customHeight="1"/>
    <row r="31" s="1" customFormat="1" ht="15">
      <c r="A31" s="6" t="s">
        <v>137</v>
      </c>
    </row>
    <row r="32" s="1" customFormat="1" ht="13.5" customHeight="1">
      <c r="A32" s="6"/>
    </row>
    <row r="33" s="1" customFormat="1" ht="51">
      <c r="A33" s="1" t="s">
        <v>157</v>
      </c>
    </row>
    <row r="34" s="1" customFormat="1" ht="13.5" customHeight="1"/>
    <row r="35" ht="15">
      <c r="A35" s="6" t="s">
        <v>140</v>
      </c>
    </row>
    <row r="36" ht="13.5" customHeight="1">
      <c r="A36" s="6"/>
    </row>
    <row r="37" ht="25.5">
      <c r="A37" s="1" t="s">
        <v>206</v>
      </c>
    </row>
    <row r="38" ht="13.5" customHeight="1">
      <c r="A38" s="1"/>
    </row>
    <row r="39" ht="15">
      <c r="A39" s="6" t="s">
        <v>150</v>
      </c>
    </row>
    <row r="40" ht="13.5" customHeight="1">
      <c r="A40" s="7"/>
    </row>
    <row r="41" ht="12.75">
      <c r="A41" s="8" t="s">
        <v>158</v>
      </c>
    </row>
  </sheetData>
  <sheetProtection password="8FD9" sheet="1" objects="1" scenarios="1" selectLockedCells="1"/>
  <hyperlinks>
    <hyperlink ref="A3" r:id="rId1" display="www.excel-skills.com"/>
  </hyperlinks>
  <printOptions/>
  <pageMargins left="0.75" right="0.75" top="1" bottom="1" header="0.5" footer="0.5"/>
  <pageSetup fitToHeight="1" fitToWidth="1" horizontalDpi="600" verticalDpi="600" orientation="portrait" paperSize="9" r:id="rId2"/>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zoomScale="95" zoomScaleNormal="95" zoomScalePageLayoutView="0" workbookViewId="0" topLeftCell="A1">
      <selection activeCell="B4" sqref="B4"/>
    </sheetView>
  </sheetViews>
  <sheetFormatPr defaultColWidth="9.140625" defaultRowHeight="15" customHeight="1"/>
  <cols>
    <col min="1" max="1" width="40.140625" style="18" customWidth="1"/>
    <col min="2" max="19" width="15.7109375" style="18" customWidth="1"/>
    <col min="20" max="16384" width="9.140625" style="18" customWidth="1"/>
  </cols>
  <sheetData>
    <row r="1" spans="1:3" ht="15.75">
      <c r="A1" s="112" t="s">
        <v>6</v>
      </c>
      <c r="C1" s="17"/>
    </row>
    <row r="2" ht="15" customHeight="1">
      <c r="A2" s="101" t="s">
        <v>209</v>
      </c>
    </row>
    <row r="3" ht="15" customHeight="1">
      <c r="A3" s="19" t="s">
        <v>7</v>
      </c>
    </row>
    <row r="4" spans="1:2" ht="15" customHeight="1">
      <c r="A4" s="111" t="s">
        <v>8</v>
      </c>
      <c r="B4" s="13">
        <v>1000000</v>
      </c>
    </row>
    <row r="5" spans="1:2" ht="15" customHeight="1">
      <c r="A5" s="111" t="s">
        <v>2</v>
      </c>
      <c r="B5" s="113">
        <v>0.1025</v>
      </c>
    </row>
    <row r="6" spans="1:2" ht="15" customHeight="1">
      <c r="A6" s="111" t="s">
        <v>11</v>
      </c>
      <c r="B6" s="14">
        <v>20</v>
      </c>
    </row>
    <row r="7" spans="1:2" ht="15" customHeight="1">
      <c r="A7" s="111" t="s">
        <v>141</v>
      </c>
      <c r="B7" s="13">
        <v>2000</v>
      </c>
    </row>
    <row r="8" spans="1:2" ht="15" customHeight="1">
      <c r="A8" s="111" t="s">
        <v>93</v>
      </c>
      <c r="B8" s="15">
        <v>0.11</v>
      </c>
    </row>
    <row r="9" spans="1:2" ht="15" customHeight="1">
      <c r="A9" s="111" t="s">
        <v>94</v>
      </c>
      <c r="B9" s="15">
        <v>0.06</v>
      </c>
    </row>
    <row r="11" ht="15" customHeight="1">
      <c r="A11" s="19" t="s">
        <v>189</v>
      </c>
    </row>
    <row r="12" spans="1:2" ht="15" customHeight="1">
      <c r="A12" s="18" t="s">
        <v>9</v>
      </c>
      <c r="B12" s="20">
        <f>PMT(B5/12,B6*12,-B4,0,0)</f>
        <v>9816.433869864442</v>
      </c>
    </row>
    <row r="13" spans="1:2" ht="15" customHeight="1">
      <c r="A13" s="18" t="s">
        <v>10</v>
      </c>
      <c r="B13" s="21">
        <f>B14-B4</f>
        <v>1355944.1287674662</v>
      </c>
    </row>
    <row r="14" spans="1:2" ht="15" customHeight="1">
      <c r="A14" s="18" t="s">
        <v>208</v>
      </c>
      <c r="B14" s="21">
        <f>B12*12*B6</f>
        <v>2355944.128767466</v>
      </c>
    </row>
    <row r="15" ht="15" customHeight="1">
      <c r="B15" s="21"/>
    </row>
    <row r="16" spans="1:2" ht="15" customHeight="1">
      <c r="A16" s="18" t="s">
        <v>90</v>
      </c>
      <c r="B16" s="22">
        <f>NetDisposable!$C$35</f>
        <v>10000</v>
      </c>
    </row>
    <row r="17" spans="1:2" ht="15" customHeight="1">
      <c r="A17" s="18" t="s">
        <v>196</v>
      </c>
      <c r="B17" s="20">
        <f>-PV(B5/12,B6*12,B16,0,0)</f>
        <v>1018699.8794642829</v>
      </c>
    </row>
    <row r="18" spans="1:2" ht="15" customHeight="1">
      <c r="A18" s="18" t="s">
        <v>136</v>
      </c>
      <c r="B18" s="23">
        <f>B12</f>
        <v>9816.433869864442</v>
      </c>
    </row>
    <row r="19" spans="1:2" ht="15" customHeight="1">
      <c r="A19" s="18" t="s">
        <v>92</v>
      </c>
      <c r="B19" s="24">
        <f>IF(B16=0,"no NDI",(RATE(B6*12,B16,-B4,0,0)*12)-B5)</f>
        <v>0.00274110872594778</v>
      </c>
    </row>
    <row r="21" spans="1:2" ht="15" customHeight="1">
      <c r="A21" s="18" t="s">
        <v>197</v>
      </c>
      <c r="B21" s="20">
        <f>B12+B7</f>
        <v>11816.433869864442</v>
      </c>
    </row>
    <row r="22" spans="1:2" ht="15" customHeight="1">
      <c r="A22" s="18" t="s">
        <v>129</v>
      </c>
      <c r="B22" s="20">
        <f>MonthAmort!L364</f>
        <v>782800.6780033411</v>
      </c>
    </row>
    <row r="23" spans="1:2" ht="15" customHeight="1">
      <c r="A23" s="18" t="s">
        <v>198</v>
      </c>
      <c r="B23" s="20">
        <f>NPER(B5/12,B21,-B4,0,0)</f>
        <v>150.87421277730465</v>
      </c>
    </row>
    <row r="24" spans="1:2" ht="15" customHeight="1">
      <c r="A24" s="18" t="s">
        <v>199</v>
      </c>
      <c r="B24" s="20">
        <f>B23/12</f>
        <v>12.572851064775387</v>
      </c>
    </row>
    <row r="25" spans="1:2" ht="15" customHeight="1">
      <c r="A25" s="18" t="s">
        <v>130</v>
      </c>
      <c r="B25" s="20">
        <f>MonthAmort!P364</f>
        <v>573143.4507641227</v>
      </c>
    </row>
    <row r="26" spans="1:2" ht="15" customHeight="1">
      <c r="A26" s="18" t="s">
        <v>131</v>
      </c>
      <c r="B26" s="20">
        <f>MonthAmort!S364</f>
        <v>290514.93472922884</v>
      </c>
    </row>
    <row r="28" spans="1:2" ht="15" customHeight="1">
      <c r="A28" s="18" t="str">
        <f>"Monthly Bond Repayment @ "&amp;FIXED(B5*100,2)&amp;"%"</f>
        <v>Monthly Bond Repayment @ 10.25%</v>
      </c>
      <c r="B28" s="21">
        <f>B12</f>
        <v>9816.433869864442</v>
      </c>
    </row>
    <row r="29" spans="1:2" ht="15" customHeight="1">
      <c r="A29" s="18" t="str">
        <f>"Monthly Bond Repayment @ "&amp;FIXED(B8*100,1)&amp;"%"</f>
        <v>Monthly Bond Repayment @ 11.0%</v>
      </c>
      <c r="B29" s="20">
        <f>PMT(B8/12,B6*12,-B4,0,0)</f>
        <v>10321.883923760568</v>
      </c>
    </row>
    <row r="30" spans="1:2" ht="15" customHeight="1">
      <c r="A30" s="18" t="s">
        <v>200</v>
      </c>
      <c r="B30" s="21">
        <f>B29-B28</f>
        <v>505.4500538961256</v>
      </c>
    </row>
  </sheetData>
  <sheetProtection/>
  <dataValidations count="5">
    <dataValidation type="decimal" allowBlank="1" showInputMessage="1" showErrorMessage="1" promptTitle="Annual Interest Rate" prompt="Enter the annual interest rate as a percentage." errorTitle="Invalid Input" error="The annual interest rate must be a percentage!" sqref="B5">
      <formula1>0</formula1>
      <formula2>1</formula2>
    </dataValidation>
    <dataValidation type="whole" allowBlank="1" showInputMessage="1" showErrorMessage="1" promptTitle="Bond Period in Years" prompt="Enter a bond repayment period between 1 and 30 years." errorTitle="Invalid Input" error="The bond period must be between 1 and 30 years!" sqref="B6">
      <formula1>1</formula1>
      <formula2>30</formula2>
    </dataValidation>
    <dataValidation allowBlank="1" showInputMessage="1" showErrorMessage="1" promptTitle="Increased Instalment" prompt="Enter an additional monthly bond repayment amount for increased instalment calculation purposes." sqref="B7"/>
    <dataValidation type="decimal" allowBlank="1" showInputMessage="1" showErrorMessage="1" promptTitle="Interest Rate Sensitivity" prompt="Enter a second interest rate for comparison against the annual bond interest rate." errorTitle="Invalid Input" error="This interest rate must be entered as a percentage!" sqref="B8">
      <formula1>0</formula1>
      <formula2>1</formula2>
    </dataValidation>
    <dataValidation allowBlank="1" showInputMessage="1" showErrorMessage="1" promptTitle="Annual Inflation Rate" prompt="Enter the average annual inflation rate as a percentage. This value forms part of the present value calculation of the increased instalment interest saving." errorTitle="Invalid Input" error="The average inflation rate must be a percentage!" sqref="B9"/>
  </dataValidations>
  <printOptions/>
  <pageMargins left="0.75" right="0.75" top="1" bottom="1" header="0.5" footer="0.5"/>
  <pageSetup fitToHeight="1" fitToWidth="1" horizontalDpi="600" verticalDpi="600" orientation="landscape" paperSize="9" scale="80"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89"/>
  <sheetViews>
    <sheetView zoomScale="90" zoomScaleNormal="90" zoomScalePageLayoutView="0" workbookViewId="0" topLeftCell="A1">
      <pane ySplit="1" topLeftCell="A2" activePane="bottomLeft" state="frozen"/>
      <selection pane="topLeft" activeCell="A1" sqref="A1"/>
      <selection pane="bottomLeft" activeCell="C3" sqref="C3"/>
    </sheetView>
  </sheetViews>
  <sheetFormatPr defaultColWidth="9.140625" defaultRowHeight="15" customHeight="1"/>
  <cols>
    <col min="1" max="1" width="5.7109375" style="32" customWidth="1"/>
    <col min="2" max="2" width="46.28125" style="32" bestFit="1" customWidth="1"/>
    <col min="3" max="3" width="15.7109375" style="57" customWidth="1"/>
    <col min="4" max="4" width="5.7109375" style="71" customWidth="1"/>
    <col min="5" max="5" width="32.140625" style="32" bestFit="1" customWidth="1"/>
    <col min="6" max="6" width="15.7109375" style="57" customWidth="1"/>
    <col min="7" max="7" width="5.7109375" style="54" customWidth="1"/>
    <col min="8" max="8" width="25.28125" style="32" bestFit="1" customWidth="1"/>
    <col min="9" max="9" width="15.7109375" style="42" customWidth="1"/>
    <col min="10" max="10" width="5.7109375" style="32" customWidth="1"/>
    <col min="11" max="16384" width="9.140625" style="32" customWidth="1"/>
  </cols>
  <sheetData>
    <row r="1" spans="2:10" s="26" customFormat="1" ht="15.75">
      <c r="B1" s="25" t="s">
        <v>84</v>
      </c>
      <c r="C1" s="25"/>
      <c r="D1" s="25"/>
      <c r="E1" s="25"/>
      <c r="F1" s="25"/>
      <c r="G1" s="25"/>
      <c r="I1" s="12"/>
      <c r="J1" s="102" t="s">
        <v>209</v>
      </c>
    </row>
    <row r="2" spans="2:10" ht="15" customHeight="1">
      <c r="B2" s="27" t="s">
        <v>12</v>
      </c>
      <c r="C2" s="28"/>
      <c r="D2" s="29"/>
      <c r="E2" s="30" t="s">
        <v>13</v>
      </c>
      <c r="F2" s="28"/>
      <c r="G2" s="31"/>
      <c r="H2" s="27" t="s">
        <v>71</v>
      </c>
      <c r="I2" s="28"/>
      <c r="J2" s="31"/>
    </row>
    <row r="3" spans="2:10" ht="15" customHeight="1">
      <c r="B3" s="33" t="s">
        <v>14</v>
      </c>
      <c r="C3" s="14">
        <v>10000</v>
      </c>
      <c r="D3" s="34">
        <v>1</v>
      </c>
      <c r="E3" s="35" t="s">
        <v>15</v>
      </c>
      <c r="F3" s="14">
        <v>0</v>
      </c>
      <c r="G3" s="36">
        <v>18</v>
      </c>
      <c r="H3" s="37" t="s">
        <v>73</v>
      </c>
      <c r="I3" s="14">
        <v>0</v>
      </c>
      <c r="J3" s="36">
        <v>42</v>
      </c>
    </row>
    <row r="4" spans="2:10" ht="15" customHeight="1">
      <c r="B4" s="33" t="s">
        <v>16</v>
      </c>
      <c r="C4" s="14">
        <v>0</v>
      </c>
      <c r="D4" s="34">
        <v>2</v>
      </c>
      <c r="E4" s="38" t="s">
        <v>17</v>
      </c>
      <c r="F4" s="14">
        <v>0</v>
      </c>
      <c r="G4" s="36">
        <v>19</v>
      </c>
      <c r="H4" s="37" t="s">
        <v>75</v>
      </c>
      <c r="I4" s="14">
        <v>0</v>
      </c>
      <c r="J4" s="36">
        <v>43</v>
      </c>
    </row>
    <row r="5" spans="2:10" ht="15" customHeight="1">
      <c r="B5" s="33" t="s">
        <v>18</v>
      </c>
      <c r="C5" s="14">
        <v>0</v>
      </c>
      <c r="D5" s="34">
        <v>3</v>
      </c>
      <c r="E5" s="33" t="s">
        <v>19</v>
      </c>
      <c r="F5" s="14">
        <v>0</v>
      </c>
      <c r="G5" s="36">
        <v>20</v>
      </c>
      <c r="H5" s="37" t="s">
        <v>76</v>
      </c>
      <c r="I5" s="14">
        <v>0</v>
      </c>
      <c r="J5" s="36">
        <v>44</v>
      </c>
    </row>
    <row r="6" spans="2:10" ht="15" customHeight="1">
      <c r="B6" s="33" t="s">
        <v>21</v>
      </c>
      <c r="C6" s="14">
        <v>0</v>
      </c>
      <c r="D6" s="34">
        <v>4</v>
      </c>
      <c r="E6" s="33" t="s">
        <v>22</v>
      </c>
      <c r="F6" s="14">
        <v>0</v>
      </c>
      <c r="G6" s="36">
        <v>21</v>
      </c>
      <c r="H6" s="37" t="s">
        <v>77</v>
      </c>
      <c r="I6" s="14">
        <v>0</v>
      </c>
      <c r="J6" s="36">
        <v>45</v>
      </c>
    </row>
    <row r="7" spans="2:10" ht="15" customHeight="1">
      <c r="B7" s="33" t="s">
        <v>23</v>
      </c>
      <c r="C7" s="14">
        <v>0</v>
      </c>
      <c r="D7" s="34">
        <v>5</v>
      </c>
      <c r="E7" s="35" t="s">
        <v>24</v>
      </c>
      <c r="F7" s="14">
        <v>0</v>
      </c>
      <c r="G7" s="36">
        <v>22</v>
      </c>
      <c r="H7" s="37" t="s">
        <v>78</v>
      </c>
      <c r="I7" s="14">
        <v>0</v>
      </c>
      <c r="J7" s="36">
        <v>46</v>
      </c>
    </row>
    <row r="8" spans="2:10" ht="15" customHeight="1">
      <c r="B8" s="27" t="s">
        <v>188</v>
      </c>
      <c r="C8" s="39">
        <f>SUM(C3:C7)</f>
        <v>10000</v>
      </c>
      <c r="D8" s="34"/>
      <c r="E8" s="35" t="s">
        <v>159</v>
      </c>
      <c r="F8" s="14">
        <v>0</v>
      </c>
      <c r="G8" s="36">
        <v>23</v>
      </c>
      <c r="H8" s="37" t="s">
        <v>79</v>
      </c>
      <c r="I8" s="14">
        <v>0</v>
      </c>
      <c r="J8" s="36">
        <v>47</v>
      </c>
    </row>
    <row r="9" spans="2:10" ht="15" customHeight="1">
      <c r="B9" s="27" t="s">
        <v>26</v>
      </c>
      <c r="C9" s="28"/>
      <c r="D9" s="34"/>
      <c r="E9" s="33" t="s">
        <v>27</v>
      </c>
      <c r="F9" s="14">
        <v>0</v>
      </c>
      <c r="G9" s="36">
        <v>24</v>
      </c>
      <c r="H9" s="40" t="s">
        <v>80</v>
      </c>
      <c r="I9" s="14">
        <v>0</v>
      </c>
      <c r="J9" s="36">
        <v>48</v>
      </c>
    </row>
    <row r="10" spans="2:10" ht="15" customHeight="1">
      <c r="B10" s="33" t="s">
        <v>28</v>
      </c>
      <c r="C10" s="14">
        <v>0</v>
      </c>
      <c r="D10" s="34">
        <v>6</v>
      </c>
      <c r="E10" s="33" t="s">
        <v>29</v>
      </c>
      <c r="F10" s="14">
        <v>0</v>
      </c>
      <c r="G10" s="36">
        <v>25</v>
      </c>
      <c r="H10" s="40" t="s">
        <v>23</v>
      </c>
      <c r="I10" s="14">
        <v>0</v>
      </c>
      <c r="J10" s="36">
        <v>49</v>
      </c>
    </row>
    <row r="11" spans="2:10" ht="15" customHeight="1">
      <c r="B11" s="33" t="s">
        <v>30</v>
      </c>
      <c r="C11" s="14">
        <v>0</v>
      </c>
      <c r="D11" s="34">
        <v>7</v>
      </c>
      <c r="E11" s="35" t="s">
        <v>31</v>
      </c>
      <c r="F11" s="14">
        <v>0</v>
      </c>
      <c r="G11" s="36">
        <v>26</v>
      </c>
      <c r="H11" s="41" t="s">
        <v>81</v>
      </c>
      <c r="I11" s="39">
        <f>SUM(I3:I10)</f>
        <v>0</v>
      </c>
      <c r="J11" s="31"/>
    </row>
    <row r="12" spans="2:7" ht="15" customHeight="1">
      <c r="B12" s="33" t="s">
        <v>32</v>
      </c>
      <c r="C12" s="14">
        <v>0</v>
      </c>
      <c r="D12" s="34">
        <v>8</v>
      </c>
      <c r="E12" s="33" t="s">
        <v>33</v>
      </c>
      <c r="F12" s="14">
        <v>0</v>
      </c>
      <c r="G12" s="36">
        <v>27</v>
      </c>
    </row>
    <row r="13" spans="2:7" ht="15" customHeight="1">
      <c r="B13" s="33" t="s">
        <v>35</v>
      </c>
      <c r="C13" s="14">
        <v>0</v>
      </c>
      <c r="D13" s="34">
        <v>9</v>
      </c>
      <c r="E13" s="35" t="s">
        <v>36</v>
      </c>
      <c r="F13" s="14">
        <v>0</v>
      </c>
      <c r="G13" s="36">
        <v>28</v>
      </c>
    </row>
    <row r="14" spans="2:7" ht="15" customHeight="1">
      <c r="B14" s="33" t="s">
        <v>38</v>
      </c>
      <c r="C14" s="14">
        <v>0</v>
      </c>
      <c r="D14" s="34">
        <v>10</v>
      </c>
      <c r="E14" s="35" t="s">
        <v>39</v>
      </c>
      <c r="F14" s="14">
        <v>0</v>
      </c>
      <c r="G14" s="36">
        <v>29</v>
      </c>
    </row>
    <row r="15" spans="2:7" ht="15" customHeight="1">
      <c r="B15" s="33" t="s">
        <v>40</v>
      </c>
      <c r="C15" s="14">
        <v>0</v>
      </c>
      <c r="D15" s="34">
        <v>11</v>
      </c>
      <c r="E15" s="35" t="s">
        <v>41</v>
      </c>
      <c r="F15" s="14">
        <v>0</v>
      </c>
      <c r="G15" s="36">
        <v>30</v>
      </c>
    </row>
    <row r="16" spans="2:7" ht="15" customHeight="1">
      <c r="B16" s="33" t="s">
        <v>43</v>
      </c>
      <c r="C16" s="14">
        <v>0</v>
      </c>
      <c r="D16" s="34">
        <v>12</v>
      </c>
      <c r="E16" s="35" t="s">
        <v>44</v>
      </c>
      <c r="F16" s="14">
        <v>0</v>
      </c>
      <c r="G16" s="36">
        <v>31</v>
      </c>
    </row>
    <row r="17" spans="2:7" ht="15" customHeight="1">
      <c r="B17" s="27" t="s">
        <v>45</v>
      </c>
      <c r="C17" s="39">
        <f>SUM(C10:C16)</f>
        <v>0</v>
      </c>
      <c r="D17" s="34"/>
      <c r="E17" s="35" t="s">
        <v>46</v>
      </c>
      <c r="F17" s="14">
        <v>0</v>
      </c>
      <c r="G17" s="36">
        <v>32</v>
      </c>
    </row>
    <row r="18" spans="2:7" ht="15" customHeight="1">
      <c r="B18" s="27" t="s">
        <v>48</v>
      </c>
      <c r="C18" s="39">
        <f>SUM(C8,-C17)</f>
        <v>10000</v>
      </c>
      <c r="D18" s="34">
        <v>13</v>
      </c>
      <c r="E18" s="35" t="s">
        <v>49</v>
      </c>
      <c r="F18" s="14">
        <v>0</v>
      </c>
      <c r="G18" s="36">
        <v>33</v>
      </c>
    </row>
    <row r="19" spans="2:7" ht="15" customHeight="1">
      <c r="B19" s="33"/>
      <c r="C19" s="28"/>
      <c r="D19" s="34"/>
      <c r="E19" s="35" t="s">
        <v>51</v>
      </c>
      <c r="F19" s="14">
        <v>0</v>
      </c>
      <c r="G19" s="36">
        <v>34</v>
      </c>
    </row>
    <row r="20" spans="2:7" s="45" customFormat="1" ht="15" customHeight="1">
      <c r="B20" s="27" t="s">
        <v>53</v>
      </c>
      <c r="C20" s="43"/>
      <c r="D20" s="44"/>
      <c r="E20" s="35" t="s">
        <v>54</v>
      </c>
      <c r="F20" s="14">
        <v>0</v>
      </c>
      <c r="G20" s="36">
        <v>35</v>
      </c>
    </row>
    <row r="21" spans="2:7" ht="15" customHeight="1">
      <c r="B21" s="33" t="s">
        <v>55</v>
      </c>
      <c r="C21" s="14">
        <v>0</v>
      </c>
      <c r="D21" s="34">
        <v>14</v>
      </c>
      <c r="E21" s="46" t="s">
        <v>56</v>
      </c>
      <c r="F21" s="14">
        <v>0</v>
      </c>
      <c r="G21" s="36">
        <v>36</v>
      </c>
    </row>
    <row r="22" spans="2:7" ht="15" customHeight="1">
      <c r="B22" s="33" t="s">
        <v>57</v>
      </c>
      <c r="C22" s="14">
        <v>0</v>
      </c>
      <c r="D22" s="34">
        <v>15</v>
      </c>
      <c r="E22" s="46" t="s">
        <v>58</v>
      </c>
      <c r="F22" s="14">
        <v>0</v>
      </c>
      <c r="G22" s="36">
        <v>37</v>
      </c>
    </row>
    <row r="23" spans="2:7" ht="15" customHeight="1">
      <c r="B23" s="33" t="s">
        <v>60</v>
      </c>
      <c r="C23" s="14">
        <v>0</v>
      </c>
      <c r="D23" s="34">
        <v>16</v>
      </c>
      <c r="E23" s="38" t="s">
        <v>61</v>
      </c>
      <c r="F23" s="14">
        <v>0</v>
      </c>
      <c r="G23" s="36">
        <v>38</v>
      </c>
    </row>
    <row r="24" spans="2:7" ht="15" customHeight="1">
      <c r="B24" s="33" t="s">
        <v>63</v>
      </c>
      <c r="C24" s="14">
        <v>0</v>
      </c>
      <c r="D24" s="34">
        <v>17</v>
      </c>
      <c r="E24" s="38" t="s">
        <v>64</v>
      </c>
      <c r="F24" s="14">
        <v>0</v>
      </c>
      <c r="G24" s="36">
        <v>39</v>
      </c>
    </row>
    <row r="25" spans="2:7" ht="15" customHeight="1">
      <c r="B25" s="27" t="s">
        <v>65</v>
      </c>
      <c r="C25" s="39">
        <f>SUM(C21:C24)</f>
        <v>0</v>
      </c>
      <c r="D25" s="34"/>
      <c r="E25" s="38" t="s">
        <v>66</v>
      </c>
      <c r="F25" s="14">
        <v>0</v>
      </c>
      <c r="G25" s="36">
        <v>40</v>
      </c>
    </row>
    <row r="26" spans="2:7" ht="15" customHeight="1">
      <c r="B26" s="33"/>
      <c r="C26" s="28"/>
      <c r="D26" s="29"/>
      <c r="E26" s="38" t="s">
        <v>23</v>
      </c>
      <c r="F26" s="14">
        <v>0</v>
      </c>
      <c r="G26" s="36">
        <v>41</v>
      </c>
    </row>
    <row r="27" spans="2:7" ht="15" customHeight="1">
      <c r="B27" s="33"/>
      <c r="C27" s="28"/>
      <c r="D27" s="29"/>
      <c r="E27" s="30" t="s">
        <v>69</v>
      </c>
      <c r="F27" s="39">
        <f>SUM(F3:F26)</f>
        <v>0</v>
      </c>
      <c r="G27" s="31"/>
    </row>
    <row r="28" spans="2:7" ht="15" customHeight="1" thickBot="1">
      <c r="B28" s="33"/>
      <c r="C28" s="43"/>
      <c r="D28" s="47"/>
      <c r="E28" s="33"/>
      <c r="F28" s="28"/>
      <c r="G28" s="31"/>
    </row>
    <row r="29" spans="2:10" ht="15" customHeight="1" thickTop="1">
      <c r="B29" s="48"/>
      <c r="C29" s="49"/>
      <c r="D29" s="50"/>
      <c r="E29" s="48"/>
      <c r="F29" s="49"/>
      <c r="G29" s="51"/>
      <c r="H29" s="48"/>
      <c r="I29" s="52"/>
      <c r="J29" s="48"/>
    </row>
    <row r="30" spans="2:9" s="53" customFormat="1" ht="15" customHeight="1">
      <c r="B30" s="27" t="s">
        <v>84</v>
      </c>
      <c r="C30" s="43"/>
      <c r="D30" s="29"/>
      <c r="F30" s="23"/>
      <c r="G30" s="54"/>
      <c r="I30" s="55"/>
    </row>
    <row r="31" spans="2:4" ht="15" customHeight="1">
      <c r="B31" s="33" t="s">
        <v>48</v>
      </c>
      <c r="C31" s="56">
        <f>C18</f>
        <v>10000</v>
      </c>
      <c r="D31" s="29"/>
    </row>
    <row r="32" spans="2:4" ht="15" customHeight="1">
      <c r="B32" s="33" t="s">
        <v>87</v>
      </c>
      <c r="C32" s="56">
        <f>C25</f>
        <v>0</v>
      </c>
      <c r="D32" s="29"/>
    </row>
    <row r="33" spans="2:4" ht="15" customHeight="1">
      <c r="B33" s="35" t="s">
        <v>88</v>
      </c>
      <c r="C33" s="56">
        <f>-F27</f>
        <v>0</v>
      </c>
      <c r="D33" s="29"/>
    </row>
    <row r="34" spans="2:4" ht="15" customHeight="1">
      <c r="B34" s="33" t="s">
        <v>89</v>
      </c>
      <c r="C34" s="56">
        <f>-I11</f>
        <v>0</v>
      </c>
      <c r="D34" s="29"/>
    </row>
    <row r="35" spans="2:9" s="26" customFormat="1" ht="15" customHeight="1">
      <c r="B35" s="58" t="s">
        <v>90</v>
      </c>
      <c r="C35" s="59">
        <f>SUM(C31:C34)</f>
        <v>10000</v>
      </c>
      <c r="D35" s="60"/>
      <c r="F35" s="61"/>
      <c r="G35" s="62"/>
      <c r="I35" s="63"/>
    </row>
    <row r="36" ht="15" customHeight="1" thickBot="1">
      <c r="D36" s="29"/>
    </row>
    <row r="37" spans="2:10" ht="15" customHeight="1" thickTop="1">
      <c r="B37" s="48"/>
      <c r="C37" s="49"/>
      <c r="D37" s="50"/>
      <c r="E37" s="48"/>
      <c r="F37" s="49"/>
      <c r="G37" s="51"/>
      <c r="H37" s="48"/>
      <c r="I37" s="52"/>
      <c r="J37" s="48"/>
    </row>
    <row r="38" spans="2:9" s="53" customFormat="1" ht="15" customHeight="1">
      <c r="B38" s="45" t="s">
        <v>91</v>
      </c>
      <c r="C38" s="23"/>
      <c r="D38" s="47"/>
      <c r="E38" s="46"/>
      <c r="F38" s="64"/>
      <c r="G38" s="31"/>
      <c r="I38" s="55"/>
    </row>
    <row r="39" spans="1:7" ht="15" customHeight="1">
      <c r="A39" s="65">
        <v>1</v>
      </c>
      <c r="B39" s="32" t="s">
        <v>160</v>
      </c>
      <c r="D39" s="47"/>
      <c r="E39" s="33"/>
      <c r="F39" s="28"/>
      <c r="G39" s="31"/>
    </row>
    <row r="40" spans="1:7" ht="15" customHeight="1">
      <c r="A40" s="65">
        <v>2</v>
      </c>
      <c r="B40" s="32" t="s">
        <v>161</v>
      </c>
      <c r="D40" s="47"/>
      <c r="E40" s="33"/>
      <c r="F40" s="28"/>
      <c r="G40" s="31"/>
    </row>
    <row r="41" spans="1:7" ht="15" customHeight="1">
      <c r="A41" s="65">
        <v>3</v>
      </c>
      <c r="B41" s="32" t="s">
        <v>20</v>
      </c>
      <c r="D41" s="47"/>
      <c r="E41" s="27"/>
      <c r="F41" s="43"/>
      <c r="G41" s="31"/>
    </row>
    <row r="42" spans="1:7" ht="15" customHeight="1">
      <c r="A42" s="65">
        <v>4</v>
      </c>
      <c r="B42" s="32" t="s">
        <v>162</v>
      </c>
      <c r="D42" s="29"/>
      <c r="E42" s="33"/>
      <c r="F42" s="28"/>
      <c r="G42" s="31"/>
    </row>
    <row r="43" spans="1:7" ht="15" customHeight="1">
      <c r="A43" s="65">
        <v>5</v>
      </c>
      <c r="B43" s="32" t="s">
        <v>25</v>
      </c>
      <c r="D43" s="29"/>
      <c r="E43" s="33"/>
      <c r="F43" s="28"/>
      <c r="G43" s="31"/>
    </row>
    <row r="44" spans="1:7" ht="15" customHeight="1">
      <c r="A44" s="65">
        <v>6</v>
      </c>
      <c r="B44" s="32" t="s">
        <v>163</v>
      </c>
      <c r="D44" s="29"/>
      <c r="E44" s="33"/>
      <c r="F44" s="28"/>
      <c r="G44" s="31"/>
    </row>
    <row r="45" spans="1:7" ht="15" customHeight="1">
      <c r="A45" s="65">
        <v>7</v>
      </c>
      <c r="B45" s="32" t="s">
        <v>164</v>
      </c>
      <c r="D45" s="29"/>
      <c r="E45" s="33"/>
      <c r="F45" s="28"/>
      <c r="G45" s="31"/>
    </row>
    <row r="46" spans="1:7" ht="15" customHeight="1">
      <c r="A46" s="65">
        <v>8</v>
      </c>
      <c r="B46" s="32" t="s">
        <v>165</v>
      </c>
      <c r="D46" s="29"/>
      <c r="E46" s="33"/>
      <c r="F46" s="28"/>
      <c r="G46" s="31"/>
    </row>
    <row r="47" spans="1:7" s="66" customFormat="1" ht="15" customHeight="1">
      <c r="A47" s="65">
        <v>9</v>
      </c>
      <c r="B47" s="32" t="s">
        <v>166</v>
      </c>
      <c r="D47" s="47"/>
      <c r="E47" s="67"/>
      <c r="F47" s="68"/>
      <c r="G47" s="69"/>
    </row>
    <row r="48" spans="1:7" s="66" customFormat="1" ht="15" customHeight="1">
      <c r="A48" s="65">
        <v>10</v>
      </c>
      <c r="B48" s="32" t="s">
        <v>34</v>
      </c>
      <c r="D48" s="47"/>
      <c r="E48" s="67"/>
      <c r="F48" s="68"/>
      <c r="G48" s="69"/>
    </row>
    <row r="49" spans="1:7" s="66" customFormat="1" ht="15" customHeight="1">
      <c r="A49" s="65">
        <v>11</v>
      </c>
      <c r="B49" s="32" t="s">
        <v>37</v>
      </c>
      <c r="D49" s="47"/>
      <c r="E49" s="67"/>
      <c r="F49" s="68"/>
      <c r="G49" s="69"/>
    </row>
    <row r="50" spans="1:7" ht="15" customHeight="1">
      <c r="A50" s="65">
        <v>12</v>
      </c>
      <c r="B50" s="32" t="s">
        <v>167</v>
      </c>
      <c r="D50" s="29"/>
      <c r="E50" s="33"/>
      <c r="F50" s="28"/>
      <c r="G50" s="31"/>
    </row>
    <row r="51" spans="1:7" ht="15" customHeight="1">
      <c r="A51" s="65">
        <v>13</v>
      </c>
      <c r="B51" s="32" t="s">
        <v>42</v>
      </c>
      <c r="D51" s="70"/>
      <c r="E51" s="70"/>
      <c r="F51" s="70"/>
      <c r="G51" s="70"/>
    </row>
    <row r="52" spans="1:7" ht="15" customHeight="1">
      <c r="A52" s="65">
        <v>14</v>
      </c>
      <c r="B52" s="32" t="s">
        <v>168</v>
      </c>
      <c r="D52" s="29"/>
      <c r="E52" s="33"/>
      <c r="F52" s="28"/>
      <c r="G52" s="31"/>
    </row>
    <row r="53" spans="1:2" ht="15" customHeight="1">
      <c r="A53" s="65">
        <v>15</v>
      </c>
      <c r="B53" s="32" t="s">
        <v>47</v>
      </c>
    </row>
    <row r="54" spans="1:2" ht="15" customHeight="1">
      <c r="A54" s="65">
        <v>16</v>
      </c>
      <c r="B54" s="32" t="s">
        <v>50</v>
      </c>
    </row>
    <row r="55" spans="1:2" ht="15" customHeight="1">
      <c r="A55" s="65">
        <v>17</v>
      </c>
      <c r="B55" s="32" t="s">
        <v>52</v>
      </c>
    </row>
    <row r="56" spans="1:2" ht="15" customHeight="1">
      <c r="A56" s="65">
        <v>18</v>
      </c>
      <c r="B56" s="53" t="s">
        <v>169</v>
      </c>
    </row>
    <row r="57" spans="1:2" ht="15" customHeight="1">
      <c r="A57" s="65">
        <v>19</v>
      </c>
      <c r="B57" s="53" t="s">
        <v>170</v>
      </c>
    </row>
    <row r="58" spans="1:2" ht="15" customHeight="1">
      <c r="A58" s="65">
        <v>20</v>
      </c>
      <c r="B58" s="53" t="s">
        <v>59</v>
      </c>
    </row>
    <row r="59" spans="1:2" ht="15" customHeight="1">
      <c r="A59" s="65">
        <v>21</v>
      </c>
      <c r="B59" s="53" t="s">
        <v>62</v>
      </c>
    </row>
    <row r="60" spans="1:2" ht="15" customHeight="1">
      <c r="A60" s="65">
        <v>22</v>
      </c>
      <c r="B60" s="53" t="s">
        <v>171</v>
      </c>
    </row>
    <row r="61" spans="1:2" ht="15" customHeight="1">
      <c r="A61" s="65">
        <v>23</v>
      </c>
      <c r="B61" s="53" t="s">
        <v>67</v>
      </c>
    </row>
    <row r="62" spans="1:2" ht="15" customHeight="1">
      <c r="A62" s="65">
        <v>24</v>
      </c>
      <c r="B62" s="53" t="s">
        <v>68</v>
      </c>
    </row>
    <row r="63" spans="1:2" ht="15" customHeight="1">
      <c r="A63" s="65">
        <v>25</v>
      </c>
      <c r="B63" s="53" t="s">
        <v>70</v>
      </c>
    </row>
    <row r="64" spans="1:2" ht="15" customHeight="1">
      <c r="A64" s="65">
        <v>26</v>
      </c>
      <c r="B64" s="53" t="s">
        <v>172</v>
      </c>
    </row>
    <row r="65" spans="1:2" ht="15" customHeight="1">
      <c r="A65" s="65">
        <v>27</v>
      </c>
      <c r="B65" s="53" t="s">
        <v>72</v>
      </c>
    </row>
    <row r="66" spans="1:2" ht="15" customHeight="1">
      <c r="A66" s="65">
        <v>28</v>
      </c>
      <c r="B66" s="53" t="s">
        <v>74</v>
      </c>
    </row>
    <row r="67" spans="1:2" ht="15" customHeight="1">
      <c r="A67" s="65">
        <v>29</v>
      </c>
      <c r="B67" s="53" t="s">
        <v>173</v>
      </c>
    </row>
    <row r="68" spans="1:2" ht="15" customHeight="1">
      <c r="A68" s="65">
        <v>30</v>
      </c>
      <c r="B68" s="53" t="s">
        <v>174</v>
      </c>
    </row>
    <row r="69" spans="1:2" ht="15" customHeight="1">
      <c r="A69" s="65">
        <v>31</v>
      </c>
      <c r="B69" s="53" t="s">
        <v>142</v>
      </c>
    </row>
    <row r="70" spans="1:2" ht="15" customHeight="1">
      <c r="A70" s="65">
        <v>32</v>
      </c>
      <c r="B70" s="53" t="s">
        <v>143</v>
      </c>
    </row>
    <row r="71" spans="1:2" ht="15" customHeight="1">
      <c r="A71" s="65">
        <v>33</v>
      </c>
      <c r="B71" s="53" t="s">
        <v>175</v>
      </c>
    </row>
    <row r="72" spans="1:2" ht="15" customHeight="1">
      <c r="A72" s="65">
        <v>34</v>
      </c>
      <c r="B72" s="53" t="s">
        <v>144</v>
      </c>
    </row>
    <row r="73" spans="1:2" ht="15" customHeight="1">
      <c r="A73" s="65">
        <v>35</v>
      </c>
      <c r="B73" s="53" t="s">
        <v>176</v>
      </c>
    </row>
    <row r="74" spans="1:2" ht="15" customHeight="1">
      <c r="A74" s="65">
        <v>36</v>
      </c>
      <c r="B74" s="53" t="s">
        <v>82</v>
      </c>
    </row>
    <row r="75" spans="1:2" ht="15" customHeight="1">
      <c r="A75" s="65">
        <v>37</v>
      </c>
      <c r="B75" s="53" t="s">
        <v>83</v>
      </c>
    </row>
    <row r="76" spans="1:2" ht="15" customHeight="1">
      <c r="A76" s="65">
        <v>38</v>
      </c>
      <c r="B76" s="53" t="s">
        <v>85</v>
      </c>
    </row>
    <row r="77" spans="1:2" ht="15" customHeight="1">
      <c r="A77" s="65">
        <v>39</v>
      </c>
      <c r="B77" s="53" t="s">
        <v>86</v>
      </c>
    </row>
    <row r="78" spans="1:2" ht="15" customHeight="1">
      <c r="A78" s="65">
        <v>40</v>
      </c>
      <c r="B78" s="53" t="s">
        <v>177</v>
      </c>
    </row>
    <row r="79" spans="1:2" ht="15" customHeight="1">
      <c r="A79" s="65">
        <v>41</v>
      </c>
      <c r="B79" s="53" t="s">
        <v>178</v>
      </c>
    </row>
    <row r="80" spans="1:2" ht="15" customHeight="1">
      <c r="A80" s="65">
        <v>42</v>
      </c>
      <c r="B80" s="53" t="s">
        <v>179</v>
      </c>
    </row>
    <row r="81" spans="1:2" ht="15" customHeight="1">
      <c r="A81" s="65">
        <v>43</v>
      </c>
      <c r="B81" s="53" t="s">
        <v>180</v>
      </c>
    </row>
    <row r="82" spans="1:2" ht="15" customHeight="1">
      <c r="A82" s="65">
        <v>44</v>
      </c>
      <c r="B82" s="53" t="s">
        <v>181</v>
      </c>
    </row>
    <row r="83" spans="1:2" ht="15" customHeight="1">
      <c r="A83" s="65">
        <v>45</v>
      </c>
      <c r="B83" s="53" t="s">
        <v>182</v>
      </c>
    </row>
    <row r="84" spans="1:2" ht="15" customHeight="1">
      <c r="A84" s="65">
        <v>46</v>
      </c>
      <c r="B84" s="53" t="s">
        <v>183</v>
      </c>
    </row>
    <row r="85" spans="1:2" ht="15" customHeight="1">
      <c r="A85" s="65">
        <v>47</v>
      </c>
      <c r="B85" s="53" t="s">
        <v>184</v>
      </c>
    </row>
    <row r="86" spans="1:2" ht="15" customHeight="1">
      <c r="A86" s="65">
        <v>48</v>
      </c>
      <c r="B86" s="53" t="s">
        <v>185</v>
      </c>
    </row>
    <row r="87" spans="1:2" ht="15" customHeight="1">
      <c r="A87" s="65">
        <v>49</v>
      </c>
      <c r="B87" s="72" t="s">
        <v>186</v>
      </c>
    </row>
    <row r="89" spans="2:9" s="73" customFormat="1" ht="15" customHeight="1">
      <c r="B89" s="16" t="s">
        <v>187</v>
      </c>
      <c r="C89" s="74"/>
      <c r="D89" s="75"/>
      <c r="F89" s="74"/>
      <c r="G89" s="76"/>
      <c r="I89" s="77"/>
    </row>
  </sheetData>
  <sheetProtection formatCells="0" formatColumns="0" formatRows="0" insertColumns="0" insertRows="0" insertHyperlinks="0" deleteColumns="0" deleteRows="0" sort="0" autoFilter="0" pivotTables="0"/>
  <dataValidations count="1">
    <dataValidation type="decimal" operator="greaterThan" allowBlank="1" showInputMessage="1" showErrorMessage="1" errorTitle="Invalid Input" error="All income and expenses must be entered as positive values." sqref="C3:C7 I3:I10 F3:F26 C21:C24 C10:C16">
      <formula1>0</formula1>
    </dataValidation>
  </dataValidations>
  <printOptions/>
  <pageMargins left="0.75" right="0.75" top="1" bottom="1" header="0.5" footer="0.5"/>
  <pageSetup fitToHeight="2" fitToWidth="1" horizontalDpi="600" verticalDpi="600" orientation="landscape" scale="71" r:id="rId2"/>
  <headerFooter alignWithMargins="0">
    <oddFooter>&amp;CPage &amp;P of &amp;N</oddFooter>
  </headerFooter>
  <rowBreaks count="1" manualBreakCount="1">
    <brk id="37"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zoomScale="95" zoomScaleNormal="95" zoomScalePageLayoutView="0" workbookViewId="0" topLeftCell="A1">
      <pane ySplit="3" topLeftCell="A4" activePane="bottomLeft" state="frozen"/>
      <selection pane="topLeft" activeCell="A1" sqref="A1"/>
      <selection pane="bottomLeft" activeCell="A3" sqref="A3"/>
    </sheetView>
  </sheetViews>
  <sheetFormatPr defaultColWidth="9.140625" defaultRowHeight="15" customHeight="1"/>
  <cols>
    <col min="1" max="1" width="14.00390625" style="100" customWidth="1"/>
    <col min="2" max="6" width="15.7109375" style="20" customWidth="1"/>
    <col min="7" max="7" width="15.7109375" style="83" customWidth="1"/>
    <col min="8" max="8" width="5.7109375" style="18" customWidth="1"/>
    <col min="9" max="9" width="15.7109375" style="78" customWidth="1"/>
    <col min="10" max="10" width="15.7109375" style="79" customWidth="1"/>
    <col min="11" max="11" width="15.7109375" style="78" customWidth="1"/>
    <col min="12" max="18" width="15.7109375" style="18" customWidth="1"/>
    <col min="19" max="16384" width="9.140625" style="18" customWidth="1"/>
  </cols>
  <sheetData>
    <row r="1" spans="1:7" ht="15.75">
      <c r="A1" s="107" t="s">
        <v>118</v>
      </c>
      <c r="G1" s="17"/>
    </row>
    <row r="2" ht="15" customHeight="1">
      <c r="A2" s="101" t="s">
        <v>209</v>
      </c>
    </row>
    <row r="3" spans="1:11" s="80" customFormat="1" ht="30">
      <c r="A3" s="108" t="s">
        <v>132</v>
      </c>
      <c r="B3" s="109" t="s">
        <v>190</v>
      </c>
      <c r="C3" s="109" t="s">
        <v>3</v>
      </c>
      <c r="D3" s="109" t="s">
        <v>192</v>
      </c>
      <c r="E3" s="109" t="s">
        <v>193</v>
      </c>
      <c r="F3" s="109" t="s">
        <v>191</v>
      </c>
      <c r="G3" s="110" t="s">
        <v>4</v>
      </c>
      <c r="I3" s="81" t="s">
        <v>133</v>
      </c>
      <c r="J3" s="82" t="s">
        <v>134</v>
      </c>
      <c r="K3" s="81" t="s">
        <v>135</v>
      </c>
    </row>
    <row r="4" spans="1:11" ht="15" customHeight="1">
      <c r="A4" s="100">
        <v>1</v>
      </c>
      <c r="B4" s="20">
        <f>BondCalculator!$B$4</f>
        <v>1000000</v>
      </c>
      <c r="C4" s="20">
        <f>IF(B4=0,0,BondCalculator!$B$12*12)</f>
        <v>117797.20643837331</v>
      </c>
      <c r="D4" s="20">
        <f ca="1">SUM(OFFSET(MonthAmort!$E$3,1,0,12,1))</f>
        <v>101760.48975242092</v>
      </c>
      <c r="E4" s="20">
        <f ca="1">SUM(OFFSET(MonthAmort!$F$3,1,0,12,1))</f>
        <v>16036.716685952384</v>
      </c>
      <c r="F4" s="20">
        <f>IF(ROUND(B4-E4,2)=0,0,B4-E4)</f>
        <v>983963.2833140476</v>
      </c>
      <c r="G4" s="83">
        <f>IF($B$4=0,0,F4/$B$4)</f>
        <v>0.9839632833140476</v>
      </c>
      <c r="I4" s="84">
        <f>SUM($D$4:D4)</f>
        <v>101760.48975242092</v>
      </c>
      <c r="J4" s="79">
        <f ca="1">SUM(OFFSET(MonthAmort!$L$3,1,0,A4*12,1))</f>
        <v>100600.26183672933</v>
      </c>
      <c r="K4" s="84">
        <f>SUM($E$4:E4)</f>
        <v>16036.716685952384</v>
      </c>
    </row>
    <row r="5" spans="1:11" ht="15" customHeight="1">
      <c r="A5" s="100">
        <v>2</v>
      </c>
      <c r="B5" s="20">
        <f>F4</f>
        <v>983963.2833140476</v>
      </c>
      <c r="C5" s="20">
        <f>IF(B5=0,0,BondCalculator!$B$12*12)</f>
        <v>117797.20643837331</v>
      </c>
      <c r="D5" s="20">
        <f ca="1">SUM(OFFSET(MonthAmort!$E$3,(12*A4)+1,0,12,1))</f>
        <v>100037.26211488391</v>
      </c>
      <c r="E5" s="20">
        <f ca="1">SUM(OFFSET(MonthAmort!$F$3,(12*A4)+1,0,12,1))</f>
        <v>17759.9443234894</v>
      </c>
      <c r="F5" s="20">
        <f aca="true" t="shared" si="0" ref="F5:F33">IF(ROUND(B5-E5,2)=0,0,B5-E5)</f>
        <v>966203.3389905582</v>
      </c>
      <c r="G5" s="83">
        <f aca="true" t="shared" si="1" ref="G5:G33">IF($B$4=0,0,F5/$B$4)</f>
        <v>0.9662033389905582</v>
      </c>
      <c r="I5" s="84">
        <f>SUM($D$4:D5)</f>
        <v>201797.75186730485</v>
      </c>
      <c r="J5" s="79">
        <f ca="1">SUM(OFFSET(MonthAmort!$L$3,1,0,A5*12,1))</f>
        <v>196773.70022138505</v>
      </c>
      <c r="K5" s="84">
        <f>SUM($E$4:E5)</f>
        <v>33796.661009441785</v>
      </c>
    </row>
    <row r="6" spans="1:11" ht="15" customHeight="1">
      <c r="A6" s="100">
        <v>3</v>
      </c>
      <c r="B6" s="20">
        <f aca="true" t="shared" si="2" ref="B6:B33">F5</f>
        <v>966203.3389905582</v>
      </c>
      <c r="C6" s="20">
        <f>IF(B6=0,0,BondCalculator!$B$12*12)</f>
        <v>117797.20643837331</v>
      </c>
      <c r="D6" s="20">
        <f ca="1">SUM(OFFSET(MonthAmort!$E$3,(12*A5)+1,0,12,1))</f>
        <v>98128.86481020592</v>
      </c>
      <c r="E6" s="20">
        <f ca="1">SUM(OFFSET(MonthAmort!$F$3,(12*A5)+1,0,12,1))</f>
        <v>19668.341628167364</v>
      </c>
      <c r="F6" s="20">
        <f t="shared" si="0"/>
        <v>946534.9973623909</v>
      </c>
      <c r="G6" s="83">
        <f t="shared" si="1"/>
        <v>0.9465349973623909</v>
      </c>
      <c r="I6" s="84">
        <f>SUM($D$4:D6)</f>
        <v>299926.6166775108</v>
      </c>
      <c r="J6" s="79">
        <f ca="1">SUM(OFFSET(MonthAmort!$L$3,1,0,A6*12,1))</f>
        <v>288044.63021991873</v>
      </c>
      <c r="K6" s="84">
        <f>SUM($E$4:E6)</f>
        <v>53465.00263760915</v>
      </c>
    </row>
    <row r="7" spans="1:11" ht="15" customHeight="1">
      <c r="A7" s="100">
        <v>4</v>
      </c>
      <c r="B7" s="20">
        <f t="shared" si="2"/>
        <v>946534.9973623909</v>
      </c>
      <c r="C7" s="20">
        <f>IF(B7=0,0,BondCalculator!$B$12*12)</f>
        <v>117797.20643837331</v>
      </c>
      <c r="D7" s="20">
        <f ca="1">SUM(OFFSET(MonthAmort!$E$3,(12*A6)+1,0,12,1))</f>
        <v>96015.40040587017</v>
      </c>
      <c r="E7" s="20">
        <f ca="1">SUM(OFFSET(MonthAmort!$F$3,(12*A6)+1,0,12,1))</f>
        <v>21781.80603250314</v>
      </c>
      <c r="F7" s="20">
        <f t="shared" si="0"/>
        <v>924753.1913298877</v>
      </c>
      <c r="G7" s="83">
        <f t="shared" si="1"/>
        <v>0.9247531913298878</v>
      </c>
      <c r="I7" s="84">
        <f>SUM($D$4:D7)</f>
        <v>395942.01708338095</v>
      </c>
      <c r="J7" s="79">
        <f ca="1">SUM(OFFSET(MonthAmort!$L$3,1,0,A7*12,1))</f>
        <v>373886.25210707093</v>
      </c>
      <c r="K7" s="84">
        <f>SUM($E$4:E7)</f>
        <v>75246.80867011228</v>
      </c>
    </row>
    <row r="8" spans="1:11" ht="15" customHeight="1">
      <c r="A8" s="100">
        <v>5</v>
      </c>
      <c r="B8" s="20">
        <f t="shared" si="2"/>
        <v>924753.1913298877</v>
      </c>
      <c r="C8" s="20">
        <f>IF(B8=0,0,BondCalculator!$B$12*12)</f>
        <v>117797.20643837331</v>
      </c>
      <c r="D8" s="20">
        <f ca="1">SUM(OFFSET(MonthAmort!$E$3,(12*A7)+1,0,12,1))</f>
        <v>93674.83338796187</v>
      </c>
      <c r="E8" s="20">
        <f ca="1">SUM(OFFSET(MonthAmort!$F$3,(12*A7)+1,0,12,1))</f>
        <v>24122.373050411443</v>
      </c>
      <c r="F8" s="20">
        <f t="shared" si="0"/>
        <v>900630.8182794763</v>
      </c>
      <c r="G8" s="83">
        <f t="shared" si="1"/>
        <v>0.9006308182794762</v>
      </c>
      <c r="I8" s="84">
        <f>SUM($D$4:D8)</f>
        <v>489616.8504713428</v>
      </c>
      <c r="J8" s="79">
        <f ca="1">SUM(OFFSET(MonthAmort!$L$3,1,0,A8*12,1))</f>
        <v>453715.1588193228</v>
      </c>
      <c r="K8" s="84">
        <f>SUM($E$4:E8)</f>
        <v>99369.18172052372</v>
      </c>
    </row>
    <row r="9" spans="1:11" ht="15" customHeight="1">
      <c r="A9" s="100">
        <v>6</v>
      </c>
      <c r="B9" s="20">
        <f t="shared" si="2"/>
        <v>900630.8182794763</v>
      </c>
      <c r="C9" s="20">
        <f>IF(B9=0,0,BondCalculator!$B$12*12)</f>
        <v>117797.20643837331</v>
      </c>
      <c r="D9" s="20">
        <f ca="1">SUM(OFFSET(MonthAmort!$E$3,(12*A8)+1,0,12,1))</f>
        <v>91082.76041333236</v>
      </c>
      <c r="E9" s="20">
        <f ca="1">SUM(OFFSET(MonthAmort!$F$3,(12*A8)+1,0,12,1))</f>
        <v>26714.446025040943</v>
      </c>
      <c r="F9" s="20">
        <f t="shared" si="0"/>
        <v>873916.3722544353</v>
      </c>
      <c r="G9" s="83">
        <f t="shared" si="1"/>
        <v>0.8739163722544353</v>
      </c>
      <c r="I9" s="84">
        <f>SUM($D$4:D9)</f>
        <v>580699.6108846752</v>
      </c>
      <c r="J9" s="79">
        <f ca="1">SUM(OFFSET(MonthAmort!$L$3,1,0,A9*12,1))</f>
        <v>526885.253205435</v>
      </c>
      <c r="K9" s="84">
        <f>SUM($E$4:E9)</f>
        <v>126083.62774556466</v>
      </c>
    </row>
    <row r="10" spans="1:11" ht="15" customHeight="1">
      <c r="A10" s="100">
        <v>7</v>
      </c>
      <c r="B10" s="20">
        <f t="shared" si="2"/>
        <v>873916.3722544353</v>
      </c>
      <c r="C10" s="20">
        <f>IF(B10=0,0,BondCalculator!$B$12*12)</f>
        <v>117797.20643837331</v>
      </c>
      <c r="D10" s="20">
        <f ca="1">SUM(OFFSET(MonthAmort!$E$3,(12*A9)+1,0,12,1))</f>
        <v>88212.15587417712</v>
      </c>
      <c r="E10" s="20">
        <f ca="1">SUM(OFFSET(MonthAmort!$F$3,(12*A9)+1,0,12,1))</f>
        <v>29585.050564196197</v>
      </c>
      <c r="F10" s="20">
        <f t="shared" si="0"/>
        <v>844331.3216902391</v>
      </c>
      <c r="G10" s="83">
        <f t="shared" si="1"/>
        <v>0.8443313216902392</v>
      </c>
      <c r="I10" s="84">
        <f>SUM($D$4:D10)</f>
        <v>668911.7667588523</v>
      </c>
      <c r="J10" s="79">
        <f ca="1">SUM(OFFSET(MonthAmort!$L$3,1,0,A10*12,1))</f>
        <v>592681.0116542915</v>
      </c>
      <c r="K10" s="84">
        <f>SUM($E$4:E10)</f>
        <v>155668.67830976087</v>
      </c>
    </row>
    <row r="11" spans="1:11" ht="15" customHeight="1">
      <c r="A11" s="100">
        <v>8</v>
      </c>
      <c r="B11" s="20">
        <f t="shared" si="2"/>
        <v>844331.3216902391</v>
      </c>
      <c r="C11" s="20">
        <f>IF(B11=0,0,BondCalculator!$B$12*12)</f>
        <v>117797.20643837331</v>
      </c>
      <c r="D11" s="20">
        <f ca="1">SUM(OFFSET(MonthAmort!$E$3,(12*A10)+1,0,12,1))</f>
        <v>85033.09012221983</v>
      </c>
      <c r="E11" s="20">
        <f ca="1">SUM(OFFSET(MonthAmort!$F$3,(12*A10)+1,0,12,1))</f>
        <v>32764.116316153493</v>
      </c>
      <c r="F11" s="20">
        <f t="shared" si="0"/>
        <v>811567.2053740856</v>
      </c>
      <c r="G11" s="83">
        <f t="shared" si="1"/>
        <v>0.8115672053740856</v>
      </c>
      <c r="I11" s="84">
        <f>SUM($D$4:D11)</f>
        <v>753944.8568810722</v>
      </c>
      <c r="J11" s="79">
        <f ca="1">SUM(OFFSET(MonthAmort!$L$3,1,0,A11*12,1))</f>
        <v>650310.0238649301</v>
      </c>
      <c r="K11" s="84">
        <f>SUM($E$4:E11)</f>
        <v>188432.79462591436</v>
      </c>
    </row>
    <row r="12" spans="1:11" ht="15" customHeight="1">
      <c r="A12" s="100">
        <v>9</v>
      </c>
      <c r="B12" s="20">
        <f t="shared" si="2"/>
        <v>811567.2053740856</v>
      </c>
      <c r="C12" s="20">
        <f>IF(B12=0,0,BondCalculator!$B$12*12)</f>
        <v>117797.20643837331</v>
      </c>
      <c r="D12" s="20">
        <f ca="1">SUM(OFFSET(MonthAmort!$E$3,(12*A11)+1,0,12,1))</f>
        <v>81512.41741463682</v>
      </c>
      <c r="E12" s="20">
        <f ca="1">SUM(OFFSET(MonthAmort!$F$3,(12*A11)+1,0,12,1))</f>
        <v>36284.78902373648</v>
      </c>
      <c r="F12" s="20">
        <f t="shared" si="0"/>
        <v>775282.4163503491</v>
      </c>
      <c r="G12" s="83">
        <f t="shared" si="1"/>
        <v>0.7752824163503491</v>
      </c>
      <c r="I12" s="84">
        <f>SUM($D$4:D12)</f>
        <v>835457.274295709</v>
      </c>
      <c r="J12" s="79">
        <f ca="1">SUM(OFFSET(MonthAmort!$L$3,1,0,A12*12,1))</f>
        <v>698894.7309765164</v>
      </c>
      <c r="K12" s="84">
        <f>SUM($E$4:E12)</f>
        <v>224717.58364965086</v>
      </c>
    </row>
    <row r="13" spans="1:11" ht="15" customHeight="1">
      <c r="A13" s="100">
        <v>10</v>
      </c>
      <c r="B13" s="20">
        <f t="shared" si="2"/>
        <v>775282.4163503491</v>
      </c>
      <c r="C13" s="20">
        <f>IF(B13=0,0,BondCalculator!$B$12*12)</f>
        <v>117797.20643837331</v>
      </c>
      <c r="D13" s="20">
        <f ca="1">SUM(OFFSET(MonthAmort!$E$3,(12*A12)+1,0,12,1))</f>
        <v>77613.43032816706</v>
      </c>
      <c r="E13" s="20">
        <f ca="1">SUM(OFFSET(MonthAmort!$F$3,(12*A12)+1,0,12,1))</f>
        <v>40183.77611020624</v>
      </c>
      <c r="F13" s="20">
        <f t="shared" si="0"/>
        <v>735098.6402401428</v>
      </c>
      <c r="G13" s="83">
        <f t="shared" si="1"/>
        <v>0.7350986402401428</v>
      </c>
      <c r="I13" s="84">
        <f>SUM($D$4:D13)</f>
        <v>913070.704623876</v>
      </c>
      <c r="J13" s="79">
        <f ca="1">SUM(OFFSET(MonthAmort!$L$3,1,0,A13*12,1))</f>
        <v>737463.2759179171</v>
      </c>
      <c r="K13" s="84">
        <f>SUM($E$4:E13)</f>
        <v>264901.3597598571</v>
      </c>
    </row>
    <row r="14" spans="1:11" ht="15" customHeight="1">
      <c r="A14" s="100">
        <v>11</v>
      </c>
      <c r="B14" s="20">
        <f t="shared" si="2"/>
        <v>735098.6402401428</v>
      </c>
      <c r="C14" s="20">
        <f>IF(B14=0,0,BondCalculator!$B$12*12)</f>
        <v>117797.20643837331</v>
      </c>
      <c r="D14" s="20">
        <f ca="1">SUM(OFFSET(MonthAmort!$E$3,(12*A13)+1,0,12,1))</f>
        <v>73295.47703824182</v>
      </c>
      <c r="E14" s="20">
        <f ca="1">SUM(OFFSET(MonthAmort!$F$3,(12*A13)+1,0,12,1))</f>
        <v>44501.729400131495</v>
      </c>
      <c r="F14" s="20">
        <f t="shared" si="0"/>
        <v>690596.9108400113</v>
      </c>
      <c r="G14" s="83">
        <f t="shared" si="1"/>
        <v>0.6905969108400113</v>
      </c>
      <c r="I14" s="84">
        <f>SUM($D$4:D14)</f>
        <v>986366.1816621178</v>
      </c>
      <c r="J14" s="79">
        <f ca="1">SUM(OFFSET(MonthAmort!$L$3,1,0,A14*12,1))</f>
        <v>764939.3705803055</v>
      </c>
      <c r="K14" s="84">
        <f>SUM($E$4:E14)</f>
        <v>309403.0891599886</v>
      </c>
    </row>
    <row r="15" spans="1:11" ht="15" customHeight="1">
      <c r="A15" s="100">
        <v>12</v>
      </c>
      <c r="B15" s="20">
        <f t="shared" si="2"/>
        <v>690596.9108400113</v>
      </c>
      <c r="C15" s="20">
        <f>IF(B15=0,0,BondCalculator!$B$12*12)</f>
        <v>117797.20643837331</v>
      </c>
      <c r="D15" s="20">
        <f ca="1">SUM(OFFSET(MonthAmort!$E$3,(12*A14)+1,0,12,1))</f>
        <v>68513.53747278979</v>
      </c>
      <c r="E15" s="20">
        <f ca="1">SUM(OFFSET(MonthAmort!$F$3,(12*A14)+1,0,12,1))</f>
        <v>49283.66896558353</v>
      </c>
      <c r="F15" s="20">
        <f t="shared" si="0"/>
        <v>641313.2418744278</v>
      </c>
      <c r="G15" s="83">
        <f t="shared" si="1"/>
        <v>0.6413132418744277</v>
      </c>
      <c r="I15" s="84">
        <f>SUM($D$4:D15)</f>
        <v>1054879.7191349077</v>
      </c>
      <c r="J15" s="79">
        <f ca="1">SUM(OFFSET(MonthAmort!$L$3,1,0,A15*12,1))</f>
        <v>780131.074165379</v>
      </c>
      <c r="K15" s="84">
        <f>SUM($E$4:E15)</f>
        <v>358686.7581255722</v>
      </c>
    </row>
    <row r="16" spans="1:11" ht="15" customHeight="1">
      <c r="A16" s="100">
        <v>13</v>
      </c>
      <c r="B16" s="20">
        <f t="shared" si="2"/>
        <v>641313.2418744278</v>
      </c>
      <c r="C16" s="20">
        <f>IF(B16=0,0,BondCalculator!$B$12*12)</f>
        <v>117797.20643837331</v>
      </c>
      <c r="D16" s="20">
        <f ca="1">SUM(OFFSET(MonthAmort!$E$3,(12*A15)+1,0,12,1))</f>
        <v>63217.75392158991</v>
      </c>
      <c r="E16" s="20">
        <f ca="1">SUM(OFFSET(MonthAmort!$F$3,(12*A15)+1,0,12,1))</f>
        <v>54579.4525167834</v>
      </c>
      <c r="F16" s="20">
        <f t="shared" si="0"/>
        <v>586733.7893576444</v>
      </c>
      <c r="G16" s="83">
        <f t="shared" si="1"/>
        <v>0.5867337893576444</v>
      </c>
      <c r="I16" s="84">
        <f>SUM($D$4:D16)</f>
        <v>1118097.4730564975</v>
      </c>
      <c r="J16" s="79">
        <f ca="1">SUM(OFFSET(MonthAmort!$L$3,1,0,A16*12,1))</f>
        <v>782800.6780033411</v>
      </c>
      <c r="K16" s="84">
        <f>SUM($E$4:E16)</f>
        <v>413266.21064235555</v>
      </c>
    </row>
    <row r="17" spans="1:11" ht="15" customHeight="1">
      <c r="A17" s="100">
        <v>14</v>
      </c>
      <c r="B17" s="20">
        <f t="shared" si="2"/>
        <v>586733.7893576444</v>
      </c>
      <c r="C17" s="20">
        <f>IF(B17=0,0,BondCalculator!$B$12*12)</f>
        <v>117797.20643837331</v>
      </c>
      <c r="D17" s="20">
        <f ca="1">SUM(OFFSET(MonthAmort!$E$3,(12*A16)+1,0,12,1))</f>
        <v>57352.91120718642</v>
      </c>
      <c r="E17" s="20">
        <f ca="1">SUM(OFFSET(MonthAmort!$F$3,(12*A16)+1,0,12,1))</f>
        <v>60444.29523118689</v>
      </c>
      <c r="F17" s="20">
        <f t="shared" si="0"/>
        <v>526289.4941264575</v>
      </c>
      <c r="G17" s="83">
        <f t="shared" si="1"/>
        <v>0.5262894941264575</v>
      </c>
      <c r="I17" s="84">
        <f>SUM($D$4:D17)</f>
        <v>1175450.384263684</v>
      </c>
      <c r="J17" s="79">
        <f ca="1">SUM(OFFSET(MonthAmort!$L$3,1,0,A17*12,1))</f>
        <v>782800.6780033411</v>
      </c>
      <c r="K17" s="84">
        <f>SUM($E$4:E17)</f>
        <v>473710.50587354245</v>
      </c>
    </row>
    <row r="18" spans="1:11" ht="15" customHeight="1">
      <c r="A18" s="100">
        <v>15</v>
      </c>
      <c r="B18" s="20">
        <f t="shared" si="2"/>
        <v>526289.4941264575</v>
      </c>
      <c r="C18" s="20">
        <f>IF(B18=0,0,BondCalculator!$B$12*12)</f>
        <v>117797.20643837331</v>
      </c>
      <c r="D18" s="20">
        <f ca="1">SUM(OFFSET(MonthAmort!$E$3,(12*A17)+1,0,12,1))</f>
        <v>50857.86099749678</v>
      </c>
      <c r="E18" s="20">
        <f ca="1">SUM(OFFSET(MonthAmort!$F$3,(12*A17)+1,0,12,1))</f>
        <v>66939.34544087652</v>
      </c>
      <c r="F18" s="20">
        <f t="shared" si="0"/>
        <v>459350.14868558093</v>
      </c>
      <c r="G18" s="83">
        <f t="shared" si="1"/>
        <v>0.45935014868558094</v>
      </c>
      <c r="I18" s="84">
        <f>SUM($D$4:D18)</f>
        <v>1226308.245261181</v>
      </c>
      <c r="J18" s="79">
        <f ca="1">SUM(OFFSET(MonthAmort!$L$3,1,0,A18*12,1))</f>
        <v>782800.6780033411</v>
      </c>
      <c r="K18" s="84">
        <f>SUM($E$4:E18)</f>
        <v>540649.851314419</v>
      </c>
    </row>
    <row r="19" spans="1:11" ht="15" customHeight="1">
      <c r="A19" s="100">
        <v>16</v>
      </c>
      <c r="B19" s="20">
        <f t="shared" si="2"/>
        <v>459350.14868558093</v>
      </c>
      <c r="C19" s="20">
        <f>IF(B19=0,0,BondCalculator!$B$12*12)</f>
        <v>117797.20643837331</v>
      </c>
      <c r="D19" s="20">
        <f ca="1">SUM(OFFSET(MonthAmort!$E$3,(12*A18)+1,0,12,1))</f>
        <v>43664.88425785031</v>
      </c>
      <c r="E19" s="20">
        <f ca="1">SUM(OFFSET(MonthAmort!$F$3,(12*A18)+1,0,12,1))</f>
        <v>74132.32218052301</v>
      </c>
      <c r="F19" s="20">
        <f t="shared" si="0"/>
        <v>385217.8265050579</v>
      </c>
      <c r="G19" s="83">
        <f t="shared" si="1"/>
        <v>0.3852178265050579</v>
      </c>
      <c r="I19" s="84">
        <f>SUM($D$4:D19)</f>
        <v>1269973.1295190312</v>
      </c>
      <c r="J19" s="79">
        <f ca="1">SUM(OFFSET(MonthAmort!$L$3,1,0,A19*12,1))</f>
        <v>782800.6780033411</v>
      </c>
      <c r="K19" s="84">
        <f>SUM($E$4:E19)</f>
        <v>614782.173494942</v>
      </c>
    </row>
    <row r="20" spans="1:11" ht="15" customHeight="1">
      <c r="A20" s="100">
        <v>17</v>
      </c>
      <c r="B20" s="20">
        <f t="shared" si="2"/>
        <v>385217.8265050579</v>
      </c>
      <c r="C20" s="20">
        <f>IF(B20=0,0,BondCalculator!$B$12*12)</f>
        <v>117797.20643837331</v>
      </c>
      <c r="D20" s="20">
        <f ca="1">SUM(OFFSET(MonthAmort!$E$3,(12*A19)+1,0,12,1))</f>
        <v>35698.98519522125</v>
      </c>
      <c r="E20" s="20">
        <f ca="1">SUM(OFFSET(MonthAmort!$F$3,(12*A19)+1,0,12,1))</f>
        <v>82098.22124315207</v>
      </c>
      <c r="F20" s="20">
        <f t="shared" si="0"/>
        <v>303119.6052619058</v>
      </c>
      <c r="G20" s="83">
        <f t="shared" si="1"/>
        <v>0.30311960526190584</v>
      </c>
      <c r="I20" s="84">
        <f>SUM($D$4:D20)</f>
        <v>1305672.1147142523</v>
      </c>
      <c r="J20" s="79">
        <f ca="1">SUM(OFFSET(MonthAmort!$L$3,1,0,A20*12,1))</f>
        <v>782800.6780033411</v>
      </c>
      <c r="K20" s="84">
        <f>SUM($E$4:E20)</f>
        <v>696880.3947380941</v>
      </c>
    </row>
    <row r="21" spans="1:11" ht="15" customHeight="1">
      <c r="A21" s="100">
        <v>18</v>
      </c>
      <c r="B21" s="20">
        <f t="shared" si="2"/>
        <v>303119.6052619058</v>
      </c>
      <c r="C21" s="20">
        <f>IF(B21=0,0,BondCalculator!$B$12*12)</f>
        <v>117797.20643837331</v>
      </c>
      <c r="D21" s="20">
        <f ca="1">SUM(OFFSET(MonthAmort!$E$3,(12*A20)+1,0,12,1))</f>
        <v>26877.109333140656</v>
      </c>
      <c r="E21" s="20">
        <f ca="1">SUM(OFFSET(MonthAmort!$F$3,(12*A20)+1,0,12,1))</f>
        <v>90920.09710523266</v>
      </c>
      <c r="F21" s="20">
        <f t="shared" si="0"/>
        <v>212199.50815667317</v>
      </c>
      <c r="G21" s="83">
        <f t="shared" si="1"/>
        <v>0.21219950815667316</v>
      </c>
      <c r="I21" s="84">
        <f>SUM($D$4:D21)</f>
        <v>1332549.2240473928</v>
      </c>
      <c r="J21" s="79">
        <f ca="1">SUM(OFFSET(MonthAmort!$L$3,1,0,A21*12,1))</f>
        <v>782800.6780033411</v>
      </c>
      <c r="K21" s="84">
        <f>SUM($E$4:E21)</f>
        <v>787800.4918433267</v>
      </c>
    </row>
    <row r="22" spans="1:11" ht="15" customHeight="1">
      <c r="A22" s="100">
        <v>19</v>
      </c>
      <c r="B22" s="20">
        <f t="shared" si="2"/>
        <v>212199.50815667317</v>
      </c>
      <c r="C22" s="20">
        <f>IF(B22=0,0,BondCalculator!$B$12*12)</f>
        <v>117797.20643837331</v>
      </c>
      <c r="D22" s="20">
        <f ca="1">SUM(OFFSET(MonthAmort!$E$3,(12*A21)+1,0,12,1))</f>
        <v>17107.277564738262</v>
      </c>
      <c r="E22" s="20">
        <f ca="1">SUM(OFFSET(MonthAmort!$F$3,(12*A21)+1,0,12,1))</f>
        <v>100689.92887363507</v>
      </c>
      <c r="F22" s="20">
        <f t="shared" si="0"/>
        <v>111509.5792830381</v>
      </c>
      <c r="G22" s="83">
        <f t="shared" si="1"/>
        <v>0.11150957928303809</v>
      </c>
      <c r="I22" s="84">
        <f>SUM($D$4:D22)</f>
        <v>1349656.501612131</v>
      </c>
      <c r="J22" s="79">
        <f ca="1">SUM(OFFSET(MonthAmort!$L$3,1,0,A22*12,1))</f>
        <v>782800.6780033411</v>
      </c>
      <c r="K22" s="84">
        <f>SUM($E$4:E22)</f>
        <v>888490.4207169618</v>
      </c>
    </row>
    <row r="23" spans="1:11" ht="15" customHeight="1">
      <c r="A23" s="100">
        <v>20</v>
      </c>
      <c r="B23" s="20">
        <f t="shared" si="2"/>
        <v>111509.5792830381</v>
      </c>
      <c r="C23" s="20">
        <f>IF(B23=0,0,BondCalculator!$B$12*12)</f>
        <v>117797.20643837331</v>
      </c>
      <c r="D23" s="20">
        <f ca="1">SUM(OFFSET(MonthAmort!$E$3,(12*A22)+1,0,12,1))</f>
        <v>6287.627155332765</v>
      </c>
      <c r="E23" s="20">
        <f ca="1">SUM(OFFSET(MonthAmort!$F$3,(12*A22)+1,0,12,1))</f>
        <v>111509.57928303748</v>
      </c>
      <c r="F23" s="20">
        <f t="shared" si="0"/>
        <v>0</v>
      </c>
      <c r="G23" s="83">
        <f t="shared" si="1"/>
        <v>0</v>
      </c>
      <c r="I23" s="84">
        <f>SUM($D$4:D23)</f>
        <v>1355944.1287674638</v>
      </c>
      <c r="J23" s="79">
        <f ca="1">SUM(OFFSET(MonthAmort!$L$3,1,0,A23*12,1))</f>
        <v>782800.6780033411</v>
      </c>
      <c r="K23" s="84">
        <f>SUM($E$4:E23)</f>
        <v>999999.9999999993</v>
      </c>
    </row>
    <row r="24" spans="1:11" ht="15" customHeight="1">
      <c r="A24" s="100">
        <v>21</v>
      </c>
      <c r="B24" s="20">
        <f t="shared" si="2"/>
        <v>0</v>
      </c>
      <c r="C24" s="20">
        <f>IF(B24=0,0,BondCalculator!$B$12*12)</f>
        <v>0</v>
      </c>
      <c r="D24" s="20">
        <f ca="1">SUM(OFFSET(MonthAmort!$E$3,(12*A23)+1,0,12,1))</f>
        <v>0</v>
      </c>
      <c r="E24" s="20">
        <f ca="1">SUM(OFFSET(MonthAmort!$F$3,(12*A23)+1,0,12,1))</f>
        <v>0</v>
      </c>
      <c r="F24" s="20">
        <f t="shared" si="0"/>
        <v>0</v>
      </c>
      <c r="G24" s="83">
        <f t="shared" si="1"/>
        <v>0</v>
      </c>
      <c r="I24" s="84">
        <f>SUM($D$4:D24)</f>
        <v>1355944.1287674638</v>
      </c>
      <c r="J24" s="79">
        <f ca="1">SUM(OFFSET(MonthAmort!$L$3,1,0,A24*12,1))</f>
        <v>782800.6780033411</v>
      </c>
      <c r="K24" s="84">
        <f>SUM($E$4:E24)</f>
        <v>999999.9999999993</v>
      </c>
    </row>
    <row r="25" spans="1:11" ht="15" customHeight="1">
      <c r="A25" s="100">
        <v>22</v>
      </c>
      <c r="B25" s="20">
        <f t="shared" si="2"/>
        <v>0</v>
      </c>
      <c r="C25" s="20">
        <f>IF(B25=0,0,BondCalculator!$B$12*12)</f>
        <v>0</v>
      </c>
      <c r="D25" s="20">
        <f ca="1">SUM(OFFSET(MonthAmort!$E$3,(12*A24)+1,0,12,1))</f>
        <v>0</v>
      </c>
      <c r="E25" s="20">
        <f ca="1">SUM(OFFSET(MonthAmort!$F$3,(12*A24)+1,0,12,1))</f>
        <v>0</v>
      </c>
      <c r="F25" s="20">
        <f t="shared" si="0"/>
        <v>0</v>
      </c>
      <c r="G25" s="83">
        <f t="shared" si="1"/>
        <v>0</v>
      </c>
      <c r="I25" s="84">
        <f>SUM($D$4:D25)</f>
        <v>1355944.1287674638</v>
      </c>
      <c r="J25" s="79">
        <f ca="1">SUM(OFFSET(MonthAmort!$L$3,1,0,A25*12,1))</f>
        <v>782800.6780033411</v>
      </c>
      <c r="K25" s="84">
        <f>SUM($E$4:E25)</f>
        <v>999999.9999999993</v>
      </c>
    </row>
    <row r="26" spans="1:11" ht="15" customHeight="1">
      <c r="A26" s="100">
        <v>23</v>
      </c>
      <c r="B26" s="20">
        <f t="shared" si="2"/>
        <v>0</v>
      </c>
      <c r="C26" s="20">
        <f>IF(B26=0,0,BondCalculator!$B$12*12)</f>
        <v>0</v>
      </c>
      <c r="D26" s="20">
        <f ca="1">SUM(OFFSET(MonthAmort!$E$3,(12*A25)+1,0,12,1))</f>
        <v>0</v>
      </c>
      <c r="E26" s="20">
        <f ca="1">SUM(OFFSET(MonthAmort!$F$3,(12*A25)+1,0,12,1))</f>
        <v>0</v>
      </c>
      <c r="F26" s="20">
        <f t="shared" si="0"/>
        <v>0</v>
      </c>
      <c r="G26" s="83">
        <f t="shared" si="1"/>
        <v>0</v>
      </c>
      <c r="I26" s="84">
        <f>SUM($D$4:D26)</f>
        <v>1355944.1287674638</v>
      </c>
      <c r="J26" s="79">
        <f ca="1">SUM(OFFSET(MonthAmort!$L$3,1,0,A26*12,1))</f>
        <v>782800.6780033411</v>
      </c>
      <c r="K26" s="84">
        <f>SUM($E$4:E26)</f>
        <v>999999.9999999993</v>
      </c>
    </row>
    <row r="27" spans="1:11" ht="15" customHeight="1">
      <c r="A27" s="100">
        <v>24</v>
      </c>
      <c r="B27" s="20">
        <f t="shared" si="2"/>
        <v>0</v>
      </c>
      <c r="C27" s="20">
        <f>IF(B27=0,0,BondCalculator!$B$12*12)</f>
        <v>0</v>
      </c>
      <c r="D27" s="20">
        <f ca="1">SUM(OFFSET(MonthAmort!$E$3,(12*A26)+1,0,12,1))</f>
        <v>0</v>
      </c>
      <c r="E27" s="20">
        <f ca="1">SUM(OFFSET(MonthAmort!$F$3,(12*A26)+1,0,12,1))</f>
        <v>0</v>
      </c>
      <c r="F27" s="20">
        <f t="shared" si="0"/>
        <v>0</v>
      </c>
      <c r="G27" s="83">
        <f t="shared" si="1"/>
        <v>0</v>
      </c>
      <c r="I27" s="84">
        <f>SUM($D$4:D27)</f>
        <v>1355944.1287674638</v>
      </c>
      <c r="J27" s="79">
        <f ca="1">SUM(OFFSET(MonthAmort!$L$3,1,0,A27*12,1))</f>
        <v>782800.6780033411</v>
      </c>
      <c r="K27" s="84">
        <f>SUM($E$4:E27)</f>
        <v>999999.9999999993</v>
      </c>
    </row>
    <row r="28" spans="1:11" ht="15" customHeight="1">
      <c r="A28" s="100">
        <v>25</v>
      </c>
      <c r="B28" s="20">
        <f t="shared" si="2"/>
        <v>0</v>
      </c>
      <c r="C28" s="20">
        <f>IF(B28=0,0,BondCalculator!$B$12*12)</f>
        <v>0</v>
      </c>
      <c r="D28" s="20">
        <f ca="1">SUM(OFFSET(MonthAmort!$E$3,(12*A27)+1,0,12,1))</f>
        <v>0</v>
      </c>
      <c r="E28" s="20">
        <f ca="1">SUM(OFFSET(MonthAmort!$F$3,(12*A27)+1,0,12,1))</f>
        <v>0</v>
      </c>
      <c r="F28" s="20">
        <f t="shared" si="0"/>
        <v>0</v>
      </c>
      <c r="G28" s="83">
        <f t="shared" si="1"/>
        <v>0</v>
      </c>
      <c r="I28" s="84">
        <f>SUM($D$4:D28)</f>
        <v>1355944.1287674638</v>
      </c>
      <c r="J28" s="79">
        <f ca="1">SUM(OFFSET(MonthAmort!$L$3,1,0,A28*12,1))</f>
        <v>782800.6780033411</v>
      </c>
      <c r="K28" s="84">
        <f>SUM($E$4:E28)</f>
        <v>999999.9999999993</v>
      </c>
    </row>
    <row r="29" spans="1:11" ht="15" customHeight="1">
      <c r="A29" s="100">
        <v>26</v>
      </c>
      <c r="B29" s="20">
        <f t="shared" si="2"/>
        <v>0</v>
      </c>
      <c r="C29" s="20">
        <f>IF(B29=0,0,BondCalculator!$B$12*12)</f>
        <v>0</v>
      </c>
      <c r="D29" s="20">
        <f ca="1">SUM(OFFSET(MonthAmort!$E$3,(12*A28)+1,0,12,1))</f>
        <v>0</v>
      </c>
      <c r="E29" s="20">
        <f ca="1">SUM(OFFSET(MonthAmort!$F$3,(12*A28)+1,0,12,1))</f>
        <v>0</v>
      </c>
      <c r="F29" s="20">
        <f t="shared" si="0"/>
        <v>0</v>
      </c>
      <c r="G29" s="83">
        <f t="shared" si="1"/>
        <v>0</v>
      </c>
      <c r="I29" s="84">
        <f>SUM($D$4:D29)</f>
        <v>1355944.1287674638</v>
      </c>
      <c r="J29" s="79">
        <f ca="1">SUM(OFFSET(MonthAmort!$L$3,1,0,A29*12,1))</f>
        <v>782800.6780033411</v>
      </c>
      <c r="K29" s="84">
        <f>SUM($E$4:E29)</f>
        <v>999999.9999999993</v>
      </c>
    </row>
    <row r="30" spans="1:11" ht="15" customHeight="1">
      <c r="A30" s="100">
        <v>27</v>
      </c>
      <c r="B30" s="20">
        <f t="shared" si="2"/>
        <v>0</v>
      </c>
      <c r="C30" s="20">
        <f>IF(B30=0,0,BondCalculator!$B$12*12)</f>
        <v>0</v>
      </c>
      <c r="D30" s="20">
        <f ca="1">SUM(OFFSET(MonthAmort!$E$3,(12*A29)+1,0,12,1))</f>
        <v>0</v>
      </c>
      <c r="E30" s="20">
        <f ca="1">SUM(OFFSET(MonthAmort!$F$3,(12*A29)+1,0,12,1))</f>
        <v>0</v>
      </c>
      <c r="F30" s="20">
        <f t="shared" si="0"/>
        <v>0</v>
      </c>
      <c r="G30" s="83">
        <f t="shared" si="1"/>
        <v>0</v>
      </c>
      <c r="I30" s="84">
        <f>SUM($D$4:D30)</f>
        <v>1355944.1287674638</v>
      </c>
      <c r="J30" s="79">
        <f ca="1">SUM(OFFSET(MonthAmort!$L$3,1,0,A30*12,1))</f>
        <v>782800.6780033411</v>
      </c>
      <c r="K30" s="84">
        <f>SUM($E$4:E30)</f>
        <v>999999.9999999993</v>
      </c>
    </row>
    <row r="31" spans="1:11" ht="15" customHeight="1">
      <c r="A31" s="100">
        <v>28</v>
      </c>
      <c r="B31" s="20">
        <f t="shared" si="2"/>
        <v>0</v>
      </c>
      <c r="C31" s="20">
        <f>IF(B31=0,0,BondCalculator!$B$12*12)</f>
        <v>0</v>
      </c>
      <c r="D31" s="20">
        <f ca="1">SUM(OFFSET(MonthAmort!$E$3,(12*A30)+1,0,12,1))</f>
        <v>0</v>
      </c>
      <c r="E31" s="20">
        <f ca="1">SUM(OFFSET(MonthAmort!$F$3,(12*A30)+1,0,12,1))</f>
        <v>0</v>
      </c>
      <c r="F31" s="20">
        <f t="shared" si="0"/>
        <v>0</v>
      </c>
      <c r="G31" s="83">
        <f t="shared" si="1"/>
        <v>0</v>
      </c>
      <c r="I31" s="84">
        <f>SUM($D$4:D31)</f>
        <v>1355944.1287674638</v>
      </c>
      <c r="J31" s="79">
        <f ca="1">SUM(OFFSET(MonthAmort!$L$3,1,0,A31*12,1))</f>
        <v>782800.6780033411</v>
      </c>
      <c r="K31" s="84">
        <f>SUM($E$4:E31)</f>
        <v>999999.9999999993</v>
      </c>
    </row>
    <row r="32" spans="1:11" ht="15" customHeight="1">
      <c r="A32" s="100">
        <v>29</v>
      </c>
      <c r="B32" s="20">
        <f t="shared" si="2"/>
        <v>0</v>
      </c>
      <c r="C32" s="20">
        <f>IF(B32=0,0,BondCalculator!$B$12*12)</f>
        <v>0</v>
      </c>
      <c r="D32" s="20">
        <f ca="1">SUM(OFFSET(MonthAmort!$E$3,(12*A31)+1,0,12,1))</f>
        <v>0</v>
      </c>
      <c r="E32" s="20">
        <f ca="1">SUM(OFFSET(MonthAmort!$F$3,(12*A31)+1,0,12,1))</f>
        <v>0</v>
      </c>
      <c r="F32" s="20">
        <f t="shared" si="0"/>
        <v>0</v>
      </c>
      <c r="G32" s="83">
        <f t="shared" si="1"/>
        <v>0</v>
      </c>
      <c r="I32" s="84">
        <f>SUM($D$4:D32)</f>
        <v>1355944.1287674638</v>
      </c>
      <c r="J32" s="79">
        <f ca="1">SUM(OFFSET(MonthAmort!$L$3,1,0,A32*12,1))</f>
        <v>782800.6780033411</v>
      </c>
      <c r="K32" s="84">
        <f>SUM($E$4:E32)</f>
        <v>999999.9999999993</v>
      </c>
    </row>
    <row r="33" spans="1:11" ht="15" customHeight="1">
      <c r="A33" s="100">
        <v>30</v>
      </c>
      <c r="B33" s="20">
        <f t="shared" si="2"/>
        <v>0</v>
      </c>
      <c r="C33" s="20">
        <f>IF(B33=0,0,BondCalculator!$B$12*12)</f>
        <v>0</v>
      </c>
      <c r="D33" s="20">
        <f ca="1">SUM(OFFSET(MonthAmort!$E$3,(12*A32)+1,0,12,1))</f>
        <v>0</v>
      </c>
      <c r="E33" s="20">
        <f ca="1">SUM(OFFSET(MonthAmort!$F$3,(12*A32)+1,0,12,1))</f>
        <v>0</v>
      </c>
      <c r="F33" s="20">
        <f t="shared" si="0"/>
        <v>0</v>
      </c>
      <c r="G33" s="83">
        <f t="shared" si="1"/>
        <v>0</v>
      </c>
      <c r="I33" s="84">
        <f>SUM($D$4:D33)</f>
        <v>1355944.1287674638</v>
      </c>
      <c r="J33" s="79">
        <f ca="1">SUM(OFFSET(MonthAmort!$L$3,1,0,A33*12,1))</f>
        <v>782800.6780033411</v>
      </c>
      <c r="K33" s="84">
        <f>SUM($E$4:E33)</f>
        <v>999999.9999999993</v>
      </c>
    </row>
  </sheetData>
  <sheetProtection/>
  <printOptions/>
  <pageMargins left="0.75" right="0.75" top="1" bottom="1" header="0.5" footer="0.5"/>
  <pageSetup fitToHeight="1" fitToWidth="1" horizontalDpi="600" verticalDpi="600" orientation="portrait" paperSize="9" scale="81"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64"/>
  <sheetViews>
    <sheetView zoomScale="95" zoomScaleNormal="9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D4" sqref="D4"/>
    </sheetView>
  </sheetViews>
  <sheetFormatPr defaultColWidth="9.140625" defaultRowHeight="15" customHeight="1"/>
  <cols>
    <col min="1" max="1" width="0" style="85" hidden="1" customWidth="1"/>
    <col min="2" max="2" width="15.7109375" style="85" customWidth="1"/>
    <col min="3" max="7" width="15.7109375" style="86" customWidth="1"/>
    <col min="8" max="8" width="15.7109375" style="98" customWidth="1"/>
    <col min="9" max="9" width="3.7109375" style="85" customWidth="1"/>
    <col min="10" max="14" width="15.7109375" style="87" hidden="1" customWidth="1"/>
    <col min="15" max="15" width="5.7109375" style="85" hidden="1" customWidth="1"/>
    <col min="16" max="16" width="15.7109375" style="88" hidden="1" customWidth="1"/>
    <col min="17" max="17" width="15.7109375" style="89" hidden="1" customWidth="1"/>
    <col min="18" max="18" width="5.7109375" style="88" hidden="1" customWidth="1"/>
    <col min="19" max="19" width="15.7109375" style="90" hidden="1" customWidth="1"/>
    <col min="20" max="24" width="12.7109375" style="85" customWidth="1"/>
    <col min="25" max="16384" width="9.140625" style="85" customWidth="1"/>
  </cols>
  <sheetData>
    <row r="1" spans="2:8" ht="15.75">
      <c r="B1" s="103" t="s">
        <v>146</v>
      </c>
      <c r="H1" s="17"/>
    </row>
    <row r="2" ht="15" customHeight="1">
      <c r="B2" s="101" t="s">
        <v>209</v>
      </c>
    </row>
    <row r="3" spans="2:19" s="91" customFormat="1" ht="30">
      <c r="B3" s="104" t="s">
        <v>5</v>
      </c>
      <c r="C3" s="105" t="s">
        <v>190</v>
      </c>
      <c r="D3" s="105" t="s">
        <v>3</v>
      </c>
      <c r="E3" s="105" t="s">
        <v>192</v>
      </c>
      <c r="F3" s="105" t="s">
        <v>193</v>
      </c>
      <c r="G3" s="105" t="s">
        <v>191</v>
      </c>
      <c r="H3" s="106" t="s">
        <v>4</v>
      </c>
      <c r="I3" s="92"/>
      <c r="J3" s="93" t="s">
        <v>190</v>
      </c>
      <c r="K3" s="93" t="s">
        <v>95</v>
      </c>
      <c r="L3" s="93" t="s">
        <v>192</v>
      </c>
      <c r="M3" s="93" t="s">
        <v>193</v>
      </c>
      <c r="N3" s="93" t="s">
        <v>191</v>
      </c>
      <c r="P3" s="93" t="s">
        <v>0</v>
      </c>
      <c r="Q3" s="94" t="s">
        <v>96</v>
      </c>
      <c r="R3" s="93"/>
      <c r="S3" s="95" t="s">
        <v>97</v>
      </c>
    </row>
    <row r="4" spans="1:19" ht="15" customHeight="1">
      <c r="A4" s="85" t="s">
        <v>98</v>
      </c>
      <c r="B4" s="96">
        <v>1</v>
      </c>
      <c r="C4" s="97">
        <f>BondCalculator!$B$4</f>
        <v>1000000</v>
      </c>
      <c r="D4" s="86">
        <f>BondCalculator!$B$12</f>
        <v>9816.433869864442</v>
      </c>
      <c r="E4" s="86">
        <f>C4*BondCalculator!$B$5/12</f>
        <v>8541.666666666666</v>
      </c>
      <c r="F4" s="86">
        <f>D4-E4</f>
        <v>1274.7672031977763</v>
      </c>
      <c r="G4" s="86">
        <f>IF(ROUND(C4-F4,0)=0,0,C4-F4)</f>
        <v>998725.2327968022</v>
      </c>
      <c r="H4" s="98">
        <f>G4/$C$4</f>
        <v>0.9987252327968021</v>
      </c>
      <c r="J4" s="88">
        <f>BondCalculator!B4</f>
        <v>1000000</v>
      </c>
      <c r="K4" s="88">
        <f>BondCalculator!$B$12+BondCalculator!$B$7</f>
        <v>11816.433869864442</v>
      </c>
      <c r="L4" s="88">
        <f>J4*BondCalculator!$B$5/12</f>
        <v>8541.666666666666</v>
      </c>
      <c r="M4" s="88">
        <f>IF(K4-L4&gt;N3,N3,K4-L4)</f>
        <v>3274.7672031977763</v>
      </c>
      <c r="N4" s="88">
        <f aca="true" t="shared" si="0" ref="N4:N67">J4-M4</f>
        <v>996725.2327968022</v>
      </c>
      <c r="P4" s="88">
        <f aca="true" t="shared" si="1" ref="P4:P67">E4-L4</f>
        <v>0</v>
      </c>
      <c r="Q4" s="89">
        <f>-PV(BondCalculator!$B$9/12,B4,0,1,0)</f>
        <v>0.9950248756218907</v>
      </c>
      <c r="S4" s="90">
        <f aca="true" t="shared" si="2" ref="S4:S67">P4*Q4</f>
        <v>0</v>
      </c>
    </row>
    <row r="5" spans="1:19" ht="15" customHeight="1">
      <c r="A5" s="85" t="s">
        <v>98</v>
      </c>
      <c r="B5" s="96">
        <v>2</v>
      </c>
      <c r="C5" s="86">
        <f>IF(ROUND(G4,0)=0,0,G4)</f>
        <v>998725.2327968022</v>
      </c>
      <c r="D5" s="86">
        <f>IF(G4=0,0,IF(G4&lt;BondCalculator!$B$12,G4+E5,BondCalculator!$B$12))</f>
        <v>9816.433869864442</v>
      </c>
      <c r="E5" s="86">
        <f>C5*BondCalculator!$B$5/12</f>
        <v>8530.778030139352</v>
      </c>
      <c r="F5" s="86">
        <f aca="true" t="shared" si="3" ref="F5:F68">D5-E5</f>
        <v>1285.6558397250901</v>
      </c>
      <c r="G5" s="86">
        <f aca="true" t="shared" si="4" ref="G5:G68">IF(ROUND(C5-F5,0)=0,0,C5-F5)</f>
        <v>997439.5769570771</v>
      </c>
      <c r="H5" s="98">
        <f aca="true" t="shared" si="5" ref="H5:H68">G5/$C$4</f>
        <v>0.9974395769570772</v>
      </c>
      <c r="J5" s="88">
        <f aca="true" t="shared" si="6" ref="J5:J68">IF(ROUND(N4,0)&gt;0,N4,0)</f>
        <v>996725.2327968022</v>
      </c>
      <c r="K5" s="88">
        <f>IF(N4=0,0,IF(N4&lt;BondCalculator!$B$12+BondCalculator!$B$7,N4+L5,BondCalculator!$B$12+BondCalculator!$B$7))</f>
        <v>11816.433869864442</v>
      </c>
      <c r="L5" s="88">
        <f>J5*BondCalculator!$B$5/12</f>
        <v>8513.694696806018</v>
      </c>
      <c r="M5" s="88">
        <f aca="true" t="shared" si="7" ref="M5:M68">IF(K5-L5&gt;N4,N4,K5-L5)</f>
        <v>3302.739173058424</v>
      </c>
      <c r="N5" s="88">
        <f t="shared" si="0"/>
        <v>993422.4936237438</v>
      </c>
      <c r="P5" s="88">
        <f t="shared" si="1"/>
        <v>17.08333333333394</v>
      </c>
      <c r="Q5" s="89">
        <f>-PV(BondCalculator!$B$9/12,B5,0,1,0)</f>
        <v>0.990074503106359</v>
      </c>
      <c r="S5" s="90">
        <f t="shared" si="2"/>
        <v>16.9137727614009</v>
      </c>
    </row>
    <row r="6" spans="1:19" ht="15" customHeight="1">
      <c r="A6" s="85" t="s">
        <v>98</v>
      </c>
      <c r="B6" s="96">
        <v>3</v>
      </c>
      <c r="C6" s="86">
        <f aca="true" t="shared" si="8" ref="C6:C69">IF(ROUND(G5,0)=0,0,G5)</f>
        <v>997439.5769570771</v>
      </c>
      <c r="D6" s="86">
        <f>IF(G5=0,0,IF(G5&lt;BondCalculator!$B$12,G5+E6,BondCalculator!$B$12))</f>
        <v>9816.433869864442</v>
      </c>
      <c r="E6" s="86">
        <f>C6*BondCalculator!$B$5/12</f>
        <v>8519.796386508368</v>
      </c>
      <c r="F6" s="86">
        <f t="shared" si="3"/>
        <v>1296.6374833560749</v>
      </c>
      <c r="G6" s="86">
        <f t="shared" si="4"/>
        <v>996142.9394737211</v>
      </c>
      <c r="H6" s="98">
        <f t="shared" si="5"/>
        <v>0.9961429394737211</v>
      </c>
      <c r="J6" s="88">
        <f t="shared" si="6"/>
        <v>993422.4936237438</v>
      </c>
      <c r="K6" s="88">
        <f>IF(N5=0,0,IF(N5&lt;BondCalculator!$B$12+BondCalculator!$B$7,N5+L6,BondCalculator!$B$12+BondCalculator!$B$7))</f>
        <v>11816.433869864442</v>
      </c>
      <c r="L6" s="88">
        <f>J6*BondCalculator!$B$5/12</f>
        <v>8485.48379970281</v>
      </c>
      <c r="M6" s="88">
        <f t="shared" si="7"/>
        <v>3330.9500701616325</v>
      </c>
      <c r="N6" s="88">
        <f t="shared" si="0"/>
        <v>990091.5435535822</v>
      </c>
      <c r="P6" s="88">
        <f t="shared" si="1"/>
        <v>34.31258680555766</v>
      </c>
      <c r="Q6" s="89">
        <f>-PV(BondCalculator!$B$9/12,B6,0,1,0)</f>
        <v>0.98514875930981</v>
      </c>
      <c r="S6" s="90">
        <f t="shared" si="2"/>
        <v>33.80300232020529</v>
      </c>
    </row>
    <row r="7" spans="1:19" ht="15" customHeight="1">
      <c r="A7" s="85" t="s">
        <v>98</v>
      </c>
      <c r="B7" s="96">
        <v>4</v>
      </c>
      <c r="C7" s="86">
        <f t="shared" si="8"/>
        <v>996142.9394737211</v>
      </c>
      <c r="D7" s="86">
        <f>IF(G6=0,0,IF(G6&lt;BondCalculator!$B$12,G6+E7,BondCalculator!$B$12))</f>
        <v>9816.433869864442</v>
      </c>
      <c r="E7" s="86">
        <f>C7*BondCalculator!$B$5/12</f>
        <v>8508.720941338033</v>
      </c>
      <c r="F7" s="86">
        <f t="shared" si="3"/>
        <v>1307.712928526409</v>
      </c>
      <c r="G7" s="86">
        <f t="shared" si="4"/>
        <v>994835.2265451946</v>
      </c>
      <c r="H7" s="98">
        <f t="shared" si="5"/>
        <v>0.9948352265451946</v>
      </c>
      <c r="J7" s="88">
        <f t="shared" si="6"/>
        <v>990091.5435535822</v>
      </c>
      <c r="K7" s="88">
        <f>IF(N6=0,0,IF(N6&lt;BondCalculator!$B$12+BondCalculator!$B$7,N6+L7,BondCalculator!$B$12+BondCalculator!$B$7))</f>
        <v>11816.433869864442</v>
      </c>
      <c r="L7" s="88">
        <f>J7*BondCalculator!$B$5/12</f>
        <v>8457.03193452018</v>
      </c>
      <c r="M7" s="88">
        <f t="shared" si="7"/>
        <v>3359.401935344262</v>
      </c>
      <c r="N7" s="88">
        <f t="shared" si="0"/>
        <v>986732.141618238</v>
      </c>
      <c r="P7" s="88">
        <f t="shared" si="1"/>
        <v>51.689006817852714</v>
      </c>
      <c r="Q7" s="89">
        <f>-PV(BondCalculator!$B$9/12,B7,0,1,0)</f>
        <v>0.9802475217013038</v>
      </c>
      <c r="S7" s="90">
        <f t="shared" si="2"/>
        <v>50.66802083240192</v>
      </c>
    </row>
    <row r="8" spans="1:19" ht="15" customHeight="1">
      <c r="A8" s="85" t="s">
        <v>98</v>
      </c>
      <c r="B8" s="96">
        <v>5</v>
      </c>
      <c r="C8" s="86">
        <f t="shared" si="8"/>
        <v>994835.2265451946</v>
      </c>
      <c r="D8" s="86">
        <f>IF(G7=0,0,IF(G7&lt;BondCalculator!$B$12,G7+E8,BondCalculator!$B$12))</f>
        <v>9816.433869864442</v>
      </c>
      <c r="E8" s="86">
        <f>C8*BondCalculator!$B$5/12</f>
        <v>8497.55089340687</v>
      </c>
      <c r="F8" s="86">
        <f t="shared" si="3"/>
        <v>1318.882976457573</v>
      </c>
      <c r="G8" s="86">
        <f t="shared" si="4"/>
        <v>993516.343568737</v>
      </c>
      <c r="H8" s="98">
        <f t="shared" si="5"/>
        <v>0.9935163435687371</v>
      </c>
      <c r="J8" s="88">
        <f t="shared" si="6"/>
        <v>986732.141618238</v>
      </c>
      <c r="K8" s="88">
        <f>IF(N7=0,0,IF(N7&lt;BondCalculator!$B$12+BondCalculator!$B$7,N7+L8,BondCalculator!$B$12+BondCalculator!$B$7))</f>
        <v>11816.433869864442</v>
      </c>
      <c r="L8" s="88">
        <f>J8*BondCalculator!$B$5/12</f>
        <v>8428.337042989115</v>
      </c>
      <c r="M8" s="88">
        <f t="shared" si="7"/>
        <v>3388.0968268753277</v>
      </c>
      <c r="N8" s="88">
        <f t="shared" si="0"/>
        <v>983344.0447913626</v>
      </c>
      <c r="P8" s="88">
        <f t="shared" si="1"/>
        <v>69.21385041775466</v>
      </c>
      <c r="Q8" s="89">
        <f>-PV(BondCalculator!$B$9/12,B8,0,1,0)</f>
        <v>0.9753706683595065</v>
      </c>
      <c r="S8" s="90">
        <f t="shared" si="2"/>
        <v>67.50915954170027</v>
      </c>
    </row>
    <row r="9" spans="1:19" ht="15" customHeight="1">
      <c r="A9" s="85" t="s">
        <v>98</v>
      </c>
      <c r="B9" s="96">
        <v>6</v>
      </c>
      <c r="C9" s="86">
        <f t="shared" si="8"/>
        <v>993516.343568737</v>
      </c>
      <c r="D9" s="86">
        <f>IF(G8=0,0,IF(G8&lt;BondCalculator!$B$12,G8+E9,BondCalculator!$B$12))</f>
        <v>9816.433869864442</v>
      </c>
      <c r="E9" s="86">
        <f>C9*BondCalculator!$B$5/12</f>
        <v>8486.285434649628</v>
      </c>
      <c r="F9" s="86">
        <f t="shared" si="3"/>
        <v>1330.1484352148145</v>
      </c>
      <c r="G9" s="86">
        <f t="shared" si="4"/>
        <v>992186.1951335223</v>
      </c>
      <c r="H9" s="98">
        <f t="shared" si="5"/>
        <v>0.9921861951335222</v>
      </c>
      <c r="J9" s="88">
        <f t="shared" si="6"/>
        <v>983344.0447913626</v>
      </c>
      <c r="K9" s="88">
        <f>IF(N8=0,0,IF(N8&lt;BondCalculator!$B$12+BondCalculator!$B$7,N8+L9,BondCalculator!$B$12+BondCalculator!$B$7))</f>
        <v>11816.433869864442</v>
      </c>
      <c r="L9" s="88">
        <f>J9*BondCalculator!$B$5/12</f>
        <v>8399.397049259554</v>
      </c>
      <c r="M9" s="88">
        <f t="shared" si="7"/>
        <v>3417.036820604888</v>
      </c>
      <c r="N9" s="88">
        <f t="shared" si="0"/>
        <v>979927.0079707577</v>
      </c>
      <c r="P9" s="88">
        <f t="shared" si="1"/>
        <v>86.88838539007338</v>
      </c>
      <c r="Q9" s="89">
        <f>-PV(BondCalculator!$B$9/12,B9,0,1,0)</f>
        <v>0.9705180779696584</v>
      </c>
      <c r="S9" s="90">
        <f t="shared" si="2"/>
        <v>84.32674878666097</v>
      </c>
    </row>
    <row r="10" spans="1:19" ht="15" customHeight="1">
      <c r="A10" s="85" t="s">
        <v>98</v>
      </c>
      <c r="B10" s="96">
        <v>7</v>
      </c>
      <c r="C10" s="86">
        <f t="shared" si="8"/>
        <v>992186.1951335223</v>
      </c>
      <c r="D10" s="86">
        <f>IF(G9=0,0,IF(G9&lt;BondCalculator!$B$12,G9+E10,BondCalculator!$B$12))</f>
        <v>9816.433869864442</v>
      </c>
      <c r="E10" s="86">
        <f>C10*BondCalculator!$B$5/12</f>
        <v>8474.923750098837</v>
      </c>
      <c r="F10" s="86">
        <f t="shared" si="3"/>
        <v>1341.5101197656059</v>
      </c>
      <c r="G10" s="86">
        <f t="shared" si="4"/>
        <v>990844.6850137566</v>
      </c>
      <c r="H10" s="98">
        <f t="shared" si="5"/>
        <v>0.9908446850137567</v>
      </c>
      <c r="J10" s="88">
        <f t="shared" si="6"/>
        <v>979927.0079707577</v>
      </c>
      <c r="K10" s="88">
        <f>IF(N9=0,0,IF(N9&lt;BondCalculator!$B$12+BondCalculator!$B$7,N9+L10,BondCalculator!$B$12+BondCalculator!$B$7))</f>
        <v>11816.433869864442</v>
      </c>
      <c r="L10" s="88">
        <f>J10*BondCalculator!$B$5/12</f>
        <v>8370.20985975022</v>
      </c>
      <c r="M10" s="88">
        <f t="shared" si="7"/>
        <v>3446.2240101142215</v>
      </c>
      <c r="N10" s="88">
        <f t="shared" si="0"/>
        <v>976480.7839606435</v>
      </c>
      <c r="P10" s="88">
        <f t="shared" si="1"/>
        <v>104.71389034861568</v>
      </c>
      <c r="Q10" s="89">
        <f>-PV(BondCalculator!$B$9/12,B10,0,1,0)</f>
        <v>0.9656896298205556</v>
      </c>
      <c r="S10" s="90">
        <f t="shared" si="2"/>
        <v>101.12111800782492</v>
      </c>
    </row>
    <row r="11" spans="1:19" ht="15" customHeight="1">
      <c r="A11" s="85" t="s">
        <v>98</v>
      </c>
      <c r="B11" s="96">
        <v>8</v>
      </c>
      <c r="C11" s="86">
        <f t="shared" si="8"/>
        <v>990844.6850137566</v>
      </c>
      <c r="D11" s="86">
        <f>IF(G10=0,0,IF(G10&lt;BondCalculator!$B$12,G10+E11,BondCalculator!$B$12))</f>
        <v>9816.433869864442</v>
      </c>
      <c r="E11" s="86">
        <f>C11*BondCalculator!$B$5/12</f>
        <v>8463.465017825836</v>
      </c>
      <c r="F11" s="86">
        <f t="shared" si="3"/>
        <v>1352.9688520386062</v>
      </c>
      <c r="G11" s="86">
        <f t="shared" si="4"/>
        <v>989491.716161718</v>
      </c>
      <c r="H11" s="98">
        <f t="shared" si="5"/>
        <v>0.989491716161718</v>
      </c>
      <c r="J11" s="88">
        <f t="shared" si="6"/>
        <v>976480.7839606435</v>
      </c>
      <c r="K11" s="88">
        <f>IF(N10=0,0,IF(N10&lt;BondCalculator!$B$12+BondCalculator!$B$7,N10+L11,BondCalculator!$B$12+BondCalculator!$B$7))</f>
        <v>11816.433869864442</v>
      </c>
      <c r="L11" s="88">
        <f>J11*BondCalculator!$B$5/12</f>
        <v>8340.773362997163</v>
      </c>
      <c r="M11" s="88">
        <f t="shared" si="7"/>
        <v>3475.6605068672798</v>
      </c>
      <c r="N11" s="88">
        <f t="shared" si="0"/>
        <v>973005.1234537761</v>
      </c>
      <c r="P11" s="88">
        <f t="shared" si="1"/>
        <v>122.69165482867356</v>
      </c>
      <c r="Q11" s="89">
        <f>-PV(BondCalculator!$B$9/12,B11,0,1,0)</f>
        <v>0.960885203801548</v>
      </c>
      <c r="S11" s="90">
        <f t="shared" si="2"/>
        <v>117.89259575479917</v>
      </c>
    </row>
    <row r="12" spans="1:19" ht="15" customHeight="1">
      <c r="A12" s="85" t="s">
        <v>98</v>
      </c>
      <c r="B12" s="96">
        <v>9</v>
      </c>
      <c r="C12" s="86">
        <f t="shared" si="8"/>
        <v>989491.716161718</v>
      </c>
      <c r="D12" s="86">
        <f>IF(G11=0,0,IF(G11&lt;BondCalculator!$B$12,G11+E12,BondCalculator!$B$12))</f>
        <v>9816.433869864442</v>
      </c>
      <c r="E12" s="86">
        <f>C12*BondCalculator!$B$5/12</f>
        <v>8451.908408881342</v>
      </c>
      <c r="F12" s="86">
        <f t="shared" si="3"/>
        <v>1364.5254609831009</v>
      </c>
      <c r="G12" s="86">
        <f t="shared" si="4"/>
        <v>988127.190700735</v>
      </c>
      <c r="H12" s="98">
        <f t="shared" si="5"/>
        <v>0.988127190700735</v>
      </c>
      <c r="J12" s="88">
        <f t="shared" si="6"/>
        <v>973005.1234537761</v>
      </c>
      <c r="K12" s="88">
        <f>IF(N11=0,0,IF(N11&lt;BondCalculator!$B$12+BondCalculator!$B$7,N11+L12,BondCalculator!$B$12+BondCalculator!$B$7))</f>
        <v>11816.433869864442</v>
      </c>
      <c r="L12" s="88">
        <f>J12*BondCalculator!$B$5/12</f>
        <v>8311.085429501005</v>
      </c>
      <c r="M12" s="88">
        <f t="shared" si="7"/>
        <v>3505.3484403634375</v>
      </c>
      <c r="N12" s="88">
        <f t="shared" si="0"/>
        <v>969499.7750134127</v>
      </c>
      <c r="P12" s="88">
        <f t="shared" si="1"/>
        <v>140.82297938033662</v>
      </c>
      <c r="Q12" s="89">
        <f>-PV(BondCalculator!$B$9/12,B12,0,1,0)</f>
        <v>0.9561046803995503</v>
      </c>
      <c r="S12" s="90">
        <f t="shared" si="2"/>
        <v>134.6415096933492</v>
      </c>
    </row>
    <row r="13" spans="1:19" ht="15" customHeight="1">
      <c r="A13" s="85" t="s">
        <v>98</v>
      </c>
      <c r="B13" s="96">
        <v>10</v>
      </c>
      <c r="C13" s="86">
        <f t="shared" si="8"/>
        <v>988127.190700735</v>
      </c>
      <c r="D13" s="86">
        <f>IF(G12=0,0,IF(G12&lt;BondCalculator!$B$12,G12+E13,BondCalculator!$B$12))</f>
        <v>9816.433869864442</v>
      </c>
      <c r="E13" s="86">
        <f>C13*BondCalculator!$B$5/12</f>
        <v>8440.253087235444</v>
      </c>
      <c r="F13" s="86">
        <f t="shared" si="3"/>
        <v>1376.1807826289987</v>
      </c>
      <c r="G13" s="86">
        <f t="shared" si="4"/>
        <v>986751.009918106</v>
      </c>
      <c r="H13" s="98">
        <f t="shared" si="5"/>
        <v>0.986751009918106</v>
      </c>
      <c r="J13" s="88">
        <f t="shared" si="6"/>
        <v>969499.7750134127</v>
      </c>
      <c r="K13" s="88">
        <f>IF(N12=0,0,IF(N12&lt;BondCalculator!$B$12+BondCalculator!$B$7,N12+L13,BondCalculator!$B$12+BondCalculator!$B$7))</f>
        <v>11816.433869864442</v>
      </c>
      <c r="L13" s="88">
        <f>J13*BondCalculator!$B$5/12</f>
        <v>8281.143911572899</v>
      </c>
      <c r="M13" s="88">
        <f t="shared" si="7"/>
        <v>3535.2899582915434</v>
      </c>
      <c r="N13" s="88">
        <f t="shared" si="0"/>
        <v>965964.4850551211</v>
      </c>
      <c r="P13" s="88">
        <f t="shared" si="1"/>
        <v>159.10917566254466</v>
      </c>
      <c r="Q13" s="89">
        <f>-PV(BondCalculator!$B$9/12,B13,0,1,0)</f>
        <v>0.9513479406960701</v>
      </c>
      <c r="S13" s="90">
        <f t="shared" si="2"/>
        <v>151.36818661241114</v>
      </c>
    </row>
    <row r="14" spans="1:19" ht="15" customHeight="1">
      <c r="A14" s="85" t="s">
        <v>98</v>
      </c>
      <c r="B14" s="96">
        <v>11</v>
      </c>
      <c r="C14" s="86">
        <f t="shared" si="8"/>
        <v>986751.009918106</v>
      </c>
      <c r="D14" s="86">
        <f>IF(G13=0,0,IF(G13&lt;BondCalculator!$B$12,G13+E14,BondCalculator!$B$12))</f>
        <v>9816.433869864442</v>
      </c>
      <c r="E14" s="86">
        <f>C14*BondCalculator!$B$5/12</f>
        <v>8428.498209717154</v>
      </c>
      <c r="F14" s="86">
        <f t="shared" si="3"/>
        <v>1387.9356601472882</v>
      </c>
      <c r="G14" s="86">
        <f t="shared" si="4"/>
        <v>985363.0742579587</v>
      </c>
      <c r="H14" s="98">
        <f t="shared" si="5"/>
        <v>0.9853630742579587</v>
      </c>
      <c r="J14" s="88">
        <f t="shared" si="6"/>
        <v>965964.4850551211</v>
      </c>
      <c r="K14" s="88">
        <f>IF(N13=0,0,IF(N13&lt;BondCalculator!$B$12+BondCalculator!$B$7,N13+L14,BondCalculator!$B$12+BondCalculator!$B$7))</f>
        <v>11816.433869864442</v>
      </c>
      <c r="L14" s="88">
        <f>J14*BondCalculator!$B$5/12</f>
        <v>8250.946643179159</v>
      </c>
      <c r="M14" s="88">
        <f t="shared" si="7"/>
        <v>3565.4872266852835</v>
      </c>
      <c r="N14" s="88">
        <f t="shared" si="0"/>
        <v>962398.9978284359</v>
      </c>
      <c r="P14" s="88">
        <f t="shared" si="1"/>
        <v>177.5515665379953</v>
      </c>
      <c r="Q14" s="89">
        <f>-PV(BondCalculator!$B$9/12,B14,0,1,0)</f>
        <v>0.946614866364249</v>
      </c>
      <c r="S14" s="90">
        <f t="shared" si="2"/>
        <v>168.0729524311275</v>
      </c>
    </row>
    <row r="15" spans="1:19" ht="15" customHeight="1">
      <c r="A15" s="85" t="s">
        <v>98</v>
      </c>
      <c r="B15" s="96">
        <v>12</v>
      </c>
      <c r="C15" s="86">
        <f t="shared" si="8"/>
        <v>985363.0742579587</v>
      </c>
      <c r="D15" s="86">
        <f>IF(G14=0,0,IF(G14&lt;BondCalculator!$B$12,G14+E15,BondCalculator!$B$12))</f>
        <v>9816.433869864442</v>
      </c>
      <c r="E15" s="86">
        <f>C15*BondCalculator!$B$5/12</f>
        <v>8416.642925953396</v>
      </c>
      <c r="F15" s="86">
        <f t="shared" si="3"/>
        <v>1399.7909439110463</v>
      </c>
      <c r="G15" s="86">
        <f t="shared" si="4"/>
        <v>983963.2833140476</v>
      </c>
      <c r="H15" s="98">
        <f t="shared" si="5"/>
        <v>0.9839632833140476</v>
      </c>
      <c r="J15" s="88">
        <f t="shared" si="6"/>
        <v>962398.9978284359</v>
      </c>
      <c r="K15" s="88">
        <f>IF(N14=0,0,IF(N14&lt;BondCalculator!$B$12+BondCalculator!$B$7,N14+L15,BondCalculator!$B$12+BondCalculator!$B$7))</f>
        <v>11816.433869864442</v>
      </c>
      <c r="L15" s="88">
        <f>J15*BondCalculator!$B$5/12</f>
        <v>8220.491439784555</v>
      </c>
      <c r="M15" s="88">
        <f t="shared" si="7"/>
        <v>3595.9424300798873</v>
      </c>
      <c r="N15" s="88">
        <f t="shared" si="0"/>
        <v>958803.0553983559</v>
      </c>
      <c r="P15" s="88">
        <f t="shared" si="1"/>
        <v>196.15148616884107</v>
      </c>
      <c r="Q15" s="89">
        <f>-PV(BondCalculator!$B$9/12,B15,0,1,0)</f>
        <v>0.9419053396659197</v>
      </c>
      <c r="S15" s="90">
        <f t="shared" si="2"/>
        <v>184.75613220583722</v>
      </c>
    </row>
    <row r="16" spans="1:19" ht="15" customHeight="1">
      <c r="A16" s="85" t="s">
        <v>99</v>
      </c>
      <c r="B16" s="96">
        <v>13</v>
      </c>
      <c r="C16" s="86">
        <f t="shared" si="8"/>
        <v>983963.2833140476</v>
      </c>
      <c r="D16" s="86">
        <f>IF(G15=0,0,IF(G15&lt;BondCalculator!$B$12,G15+E16,BondCalculator!$B$12))</f>
        <v>9816.433869864442</v>
      </c>
      <c r="E16" s="86">
        <f>C16*BondCalculator!$B$5/12</f>
        <v>8404.68637830749</v>
      </c>
      <c r="F16" s="86">
        <f t="shared" si="3"/>
        <v>1411.7474915569528</v>
      </c>
      <c r="G16" s="86">
        <f t="shared" si="4"/>
        <v>982551.5358224907</v>
      </c>
      <c r="H16" s="98">
        <f t="shared" si="5"/>
        <v>0.9825515358224907</v>
      </c>
      <c r="J16" s="88">
        <f t="shared" si="6"/>
        <v>958803.0553983559</v>
      </c>
      <c r="K16" s="88">
        <f>IF(N15=0,0,IF(N15&lt;BondCalculator!$B$12+BondCalculator!$B$7,N15+L16,BondCalculator!$B$12+BondCalculator!$B$7))</f>
        <v>11816.433869864442</v>
      </c>
      <c r="L16" s="88">
        <f>J16*BondCalculator!$B$5/12</f>
        <v>8189.776098194289</v>
      </c>
      <c r="M16" s="88">
        <f t="shared" si="7"/>
        <v>3626.657771670153</v>
      </c>
      <c r="N16" s="88">
        <f t="shared" si="0"/>
        <v>955176.3976266858</v>
      </c>
      <c r="P16" s="88">
        <f t="shared" si="1"/>
        <v>214.91028011320032</v>
      </c>
      <c r="Q16" s="89">
        <f>-PV(BondCalculator!$B$9/12,B16,0,1,0)</f>
        <v>0.9372192434486764</v>
      </c>
      <c r="S16" s="90">
        <f t="shared" si="2"/>
        <v>201.41805013703672</v>
      </c>
    </row>
    <row r="17" spans="1:19" ht="15" customHeight="1">
      <c r="A17" s="85" t="s">
        <v>99</v>
      </c>
      <c r="B17" s="96">
        <v>14</v>
      </c>
      <c r="C17" s="86">
        <f t="shared" si="8"/>
        <v>982551.5358224907</v>
      </c>
      <c r="D17" s="86">
        <f>IF(G16=0,0,IF(G16&lt;BondCalculator!$B$12,G16+E17,BondCalculator!$B$12))</f>
        <v>9816.433869864442</v>
      </c>
      <c r="E17" s="86">
        <f>C17*BondCalculator!$B$5/12</f>
        <v>8392.627701817108</v>
      </c>
      <c r="F17" s="86">
        <f t="shared" si="3"/>
        <v>1423.8061680473347</v>
      </c>
      <c r="G17" s="86">
        <f t="shared" si="4"/>
        <v>981127.7296544433</v>
      </c>
      <c r="H17" s="98">
        <f t="shared" si="5"/>
        <v>0.9811277296544433</v>
      </c>
      <c r="J17" s="88">
        <f t="shared" si="6"/>
        <v>955176.3976266858</v>
      </c>
      <c r="K17" s="88">
        <f>IF(N16=0,0,IF(N16&lt;BondCalculator!$B$12+BondCalculator!$B$7,N16+L17,BondCalculator!$B$12+BondCalculator!$B$7))</f>
        <v>11816.433869864442</v>
      </c>
      <c r="L17" s="88">
        <f>J17*BondCalculator!$B$5/12</f>
        <v>8158.798396394607</v>
      </c>
      <c r="M17" s="88">
        <f t="shared" si="7"/>
        <v>3657.6354734698352</v>
      </c>
      <c r="N17" s="88">
        <f t="shared" si="0"/>
        <v>951518.7621532159</v>
      </c>
      <c r="P17" s="88">
        <f t="shared" si="1"/>
        <v>233.8293054225005</v>
      </c>
      <c r="Q17" s="89">
        <f>-PV(BondCalculator!$B$9/12,B17,0,1,0)</f>
        <v>0.9325564611429618</v>
      </c>
      <c r="S17" s="90">
        <f t="shared" si="2"/>
        <v>218.05902957632384</v>
      </c>
    </row>
    <row r="18" spans="1:19" ht="15" customHeight="1">
      <c r="A18" s="85" t="s">
        <v>99</v>
      </c>
      <c r="B18" s="96">
        <v>15</v>
      </c>
      <c r="C18" s="86">
        <f t="shared" si="8"/>
        <v>981127.7296544433</v>
      </c>
      <c r="D18" s="86">
        <f>IF(G17=0,0,IF(G17&lt;BondCalculator!$B$12,G17+E18,BondCalculator!$B$12))</f>
        <v>9816.433869864442</v>
      </c>
      <c r="E18" s="86">
        <f>C18*BondCalculator!$B$5/12</f>
        <v>8380.466024131703</v>
      </c>
      <c r="F18" s="86">
        <f t="shared" si="3"/>
        <v>1435.967845732739</v>
      </c>
      <c r="G18" s="86">
        <f t="shared" si="4"/>
        <v>979691.7618087106</v>
      </c>
      <c r="H18" s="98">
        <f t="shared" si="5"/>
        <v>0.9796917618087106</v>
      </c>
      <c r="J18" s="88">
        <f t="shared" si="6"/>
        <v>951518.7621532159</v>
      </c>
      <c r="K18" s="88">
        <f>IF(N17=0,0,IF(N17&lt;BondCalculator!$B$12+BondCalculator!$B$7,N17+L18,BondCalculator!$B$12+BondCalculator!$B$7))</f>
        <v>11816.433869864442</v>
      </c>
      <c r="L18" s="88">
        <f>J18*BondCalculator!$B$5/12</f>
        <v>8127.556093392052</v>
      </c>
      <c r="M18" s="88">
        <f t="shared" si="7"/>
        <v>3688.87777647239</v>
      </c>
      <c r="N18" s="88">
        <f t="shared" si="0"/>
        <v>947829.8843767436</v>
      </c>
      <c r="P18" s="88">
        <f t="shared" si="1"/>
        <v>252.90993073965092</v>
      </c>
      <c r="Q18" s="89">
        <f>-PV(BondCalculator!$B$9/12,B18,0,1,0)</f>
        <v>0.9279168767591661</v>
      </c>
      <c r="S18" s="90">
        <f t="shared" si="2"/>
        <v>234.6793930333139</v>
      </c>
    </row>
    <row r="19" spans="1:19" ht="15" customHeight="1">
      <c r="A19" s="85" t="s">
        <v>99</v>
      </c>
      <c r="B19" s="96">
        <v>16</v>
      </c>
      <c r="C19" s="86">
        <f t="shared" si="8"/>
        <v>979691.7618087106</v>
      </c>
      <c r="D19" s="86">
        <f>IF(G18=0,0,IF(G18&lt;BondCalculator!$B$12,G18+E19,BondCalculator!$B$12))</f>
        <v>9816.433869864442</v>
      </c>
      <c r="E19" s="86">
        <f>C19*BondCalculator!$B$5/12</f>
        <v>8368.200465449403</v>
      </c>
      <c r="F19" s="86">
        <f t="shared" si="3"/>
        <v>1448.2334044150393</v>
      </c>
      <c r="G19" s="86">
        <f t="shared" si="4"/>
        <v>978243.5284042956</v>
      </c>
      <c r="H19" s="98">
        <f t="shared" si="5"/>
        <v>0.9782435284042955</v>
      </c>
      <c r="J19" s="88">
        <f t="shared" si="6"/>
        <v>947829.8843767436</v>
      </c>
      <c r="K19" s="88">
        <f>IF(N18=0,0,IF(N18&lt;BondCalculator!$B$12+BondCalculator!$B$7,N18+L19,BondCalculator!$B$12+BondCalculator!$B$7))</f>
        <v>11816.433869864442</v>
      </c>
      <c r="L19" s="88">
        <f>J19*BondCalculator!$B$5/12</f>
        <v>8096.046929051351</v>
      </c>
      <c r="M19" s="88">
        <f t="shared" si="7"/>
        <v>3720.3869408130913</v>
      </c>
      <c r="N19" s="88">
        <f t="shared" si="0"/>
        <v>944109.4974359305</v>
      </c>
      <c r="P19" s="88">
        <f t="shared" si="1"/>
        <v>272.153536398052</v>
      </c>
      <c r="Q19" s="89">
        <f>-PV(BondCalculator!$B$9/12,B19,0,1,0)</f>
        <v>0.9233003748847425</v>
      </c>
      <c r="S19" s="90">
        <f t="shared" si="2"/>
        <v>251.2794621825298</v>
      </c>
    </row>
    <row r="20" spans="1:19" ht="15" customHeight="1">
      <c r="A20" s="85" t="s">
        <v>99</v>
      </c>
      <c r="B20" s="96">
        <v>17</v>
      </c>
      <c r="C20" s="86">
        <f t="shared" si="8"/>
        <v>978243.5284042956</v>
      </c>
      <c r="D20" s="86">
        <f>IF(G19=0,0,IF(G19&lt;BondCalculator!$B$12,G19+E20,BondCalculator!$B$12))</f>
        <v>9816.433869864442</v>
      </c>
      <c r="E20" s="86">
        <f>C20*BondCalculator!$B$5/12</f>
        <v>8355.830138453357</v>
      </c>
      <c r="F20" s="86">
        <f t="shared" si="3"/>
        <v>1460.6037314110854</v>
      </c>
      <c r="G20" s="86">
        <f t="shared" si="4"/>
        <v>976782.9246728845</v>
      </c>
      <c r="H20" s="98">
        <f t="shared" si="5"/>
        <v>0.9767829246728845</v>
      </c>
      <c r="J20" s="88">
        <f t="shared" si="6"/>
        <v>944109.4974359305</v>
      </c>
      <c r="K20" s="88">
        <f>IF(N19=0,0,IF(N19&lt;BondCalculator!$B$12+BondCalculator!$B$7,N19+L20,BondCalculator!$B$12+BondCalculator!$B$7))</f>
        <v>11816.433869864442</v>
      </c>
      <c r="L20" s="88">
        <f>J20*BondCalculator!$B$5/12</f>
        <v>8064.2686239319055</v>
      </c>
      <c r="M20" s="88">
        <f t="shared" si="7"/>
        <v>3752.165245932537</v>
      </c>
      <c r="N20" s="88">
        <f t="shared" si="0"/>
        <v>940357.332189998</v>
      </c>
      <c r="P20" s="88">
        <f t="shared" si="1"/>
        <v>291.5615145214515</v>
      </c>
      <c r="Q20" s="89">
        <f>-PV(BondCalculator!$B$9/12,B20,0,1,0)</f>
        <v>0.9187068406813359</v>
      </c>
      <c r="S20" s="90">
        <f t="shared" si="2"/>
        <v>267.85955787026813</v>
      </c>
    </row>
    <row r="21" spans="1:19" ht="15" customHeight="1">
      <c r="A21" s="85" t="s">
        <v>99</v>
      </c>
      <c r="B21" s="96">
        <v>18</v>
      </c>
      <c r="C21" s="86">
        <f t="shared" si="8"/>
        <v>976782.9246728845</v>
      </c>
      <c r="D21" s="86">
        <f>IF(G20=0,0,IF(G20&lt;BondCalculator!$B$12,G20+E21,BondCalculator!$B$12))</f>
        <v>9816.433869864442</v>
      </c>
      <c r="E21" s="86">
        <f>C21*BondCalculator!$B$5/12</f>
        <v>8343.354148247554</v>
      </c>
      <c r="F21" s="86">
        <f t="shared" si="3"/>
        <v>1473.0797216168885</v>
      </c>
      <c r="G21" s="86">
        <f t="shared" si="4"/>
        <v>975309.8449512676</v>
      </c>
      <c r="H21" s="98">
        <f t="shared" si="5"/>
        <v>0.9753098449512676</v>
      </c>
      <c r="J21" s="88">
        <f t="shared" si="6"/>
        <v>940357.332189998</v>
      </c>
      <c r="K21" s="88">
        <f>IF(N20=0,0,IF(N20&lt;BondCalculator!$B$12+BondCalculator!$B$7,N20+L21,BondCalculator!$B$12+BondCalculator!$B$7))</f>
        <v>11816.433869864442</v>
      </c>
      <c r="L21" s="88">
        <f>J21*BondCalculator!$B$5/12</f>
        <v>8032.218879122899</v>
      </c>
      <c r="M21" s="88">
        <f t="shared" si="7"/>
        <v>3784.2149907415433</v>
      </c>
      <c r="N21" s="88">
        <f t="shared" si="0"/>
        <v>936573.1171992564</v>
      </c>
      <c r="P21" s="88">
        <f t="shared" si="1"/>
        <v>311.13526912465477</v>
      </c>
      <c r="Q21" s="89">
        <f>-PV(BondCalculator!$B$9/12,B21,0,1,0)</f>
        <v>0.9141361598819265</v>
      </c>
      <c r="S21" s="90">
        <f t="shared" si="2"/>
        <v>284.42000012144166</v>
      </c>
    </row>
    <row r="22" spans="1:19" ht="15" customHeight="1">
      <c r="A22" s="85" t="s">
        <v>99</v>
      </c>
      <c r="B22" s="96">
        <v>19</v>
      </c>
      <c r="C22" s="86">
        <f t="shared" si="8"/>
        <v>975309.8449512676</v>
      </c>
      <c r="D22" s="86">
        <f>IF(G21=0,0,IF(G21&lt;BondCalculator!$B$12,G21+E22,BondCalculator!$B$12))</f>
        <v>9816.433869864442</v>
      </c>
      <c r="E22" s="86">
        <f>C22*BondCalculator!$B$5/12</f>
        <v>8330.771592292078</v>
      </c>
      <c r="F22" s="86">
        <f t="shared" si="3"/>
        <v>1485.6622775723645</v>
      </c>
      <c r="G22" s="86">
        <f t="shared" si="4"/>
        <v>973824.1826736953</v>
      </c>
      <c r="H22" s="98">
        <f t="shared" si="5"/>
        <v>0.9738241826736953</v>
      </c>
      <c r="J22" s="88">
        <f t="shared" si="6"/>
        <v>936573.1171992564</v>
      </c>
      <c r="K22" s="88">
        <f>IF(N21=0,0,IF(N21&lt;BondCalculator!$B$12+BondCalculator!$B$7,N21+L22,BondCalculator!$B$12+BondCalculator!$B$7))</f>
        <v>11816.433869864442</v>
      </c>
      <c r="L22" s="88">
        <f>J22*BondCalculator!$B$5/12</f>
        <v>7999.895376076981</v>
      </c>
      <c r="M22" s="88">
        <f t="shared" si="7"/>
        <v>3816.5384937874614</v>
      </c>
      <c r="N22" s="88">
        <f t="shared" si="0"/>
        <v>932756.578705469</v>
      </c>
      <c r="P22" s="88">
        <f t="shared" si="1"/>
        <v>330.876216215097</v>
      </c>
      <c r="Q22" s="89">
        <f>-PV(BondCalculator!$B$9/12,B22,0,1,0)</f>
        <v>0.9095882187879867</v>
      </c>
      <c r="S22" s="90">
        <f t="shared" si="2"/>
        <v>300.96110814639883</v>
      </c>
    </row>
    <row r="23" spans="1:19" ht="15" customHeight="1">
      <c r="A23" s="85" t="s">
        <v>99</v>
      </c>
      <c r="B23" s="96">
        <v>20</v>
      </c>
      <c r="C23" s="86">
        <f t="shared" si="8"/>
        <v>973824.1826736953</v>
      </c>
      <c r="D23" s="86">
        <f>IF(G22=0,0,IF(G22&lt;BondCalculator!$B$12,G22+E23,BondCalculator!$B$12))</f>
        <v>9816.433869864442</v>
      </c>
      <c r="E23" s="86">
        <f>C23*BondCalculator!$B$5/12</f>
        <v>8318.081560337812</v>
      </c>
      <c r="F23" s="86">
        <f t="shared" si="3"/>
        <v>1498.35230952663</v>
      </c>
      <c r="G23" s="86">
        <f t="shared" si="4"/>
        <v>972325.8303641686</v>
      </c>
      <c r="H23" s="98">
        <f t="shared" si="5"/>
        <v>0.9723258303641686</v>
      </c>
      <c r="J23" s="88">
        <f t="shared" si="6"/>
        <v>932756.578705469</v>
      </c>
      <c r="K23" s="88">
        <f>IF(N22=0,0,IF(N22&lt;BondCalculator!$B$12+BondCalculator!$B$7,N22+L23,BondCalculator!$B$12+BondCalculator!$B$7))</f>
        <v>11816.433869864442</v>
      </c>
      <c r="L23" s="88">
        <f>J23*BondCalculator!$B$5/12</f>
        <v>7967.295776442547</v>
      </c>
      <c r="M23" s="88">
        <f t="shared" si="7"/>
        <v>3849.138093421895</v>
      </c>
      <c r="N23" s="88">
        <f t="shared" si="0"/>
        <v>928907.4406120471</v>
      </c>
      <c r="P23" s="88">
        <f t="shared" si="1"/>
        <v>350.785783895265</v>
      </c>
      <c r="Q23" s="89">
        <f>-PV(BondCalculator!$B$9/12,B23,0,1,0)</f>
        <v>0.9050629042666535</v>
      </c>
      <c r="S23" s="90">
        <f t="shared" si="2"/>
        <v>317.48320034770325</v>
      </c>
    </row>
    <row r="24" spans="1:19" ht="15" customHeight="1">
      <c r="A24" s="85" t="s">
        <v>99</v>
      </c>
      <c r="B24" s="96">
        <v>21</v>
      </c>
      <c r="C24" s="86">
        <f t="shared" si="8"/>
        <v>972325.8303641686</v>
      </c>
      <c r="D24" s="86">
        <f>IF(G23=0,0,IF(G23&lt;BondCalculator!$B$12,G23+E24,BondCalculator!$B$12))</f>
        <v>9816.433869864442</v>
      </c>
      <c r="E24" s="86">
        <f>C24*BondCalculator!$B$5/12</f>
        <v>8305.283134360607</v>
      </c>
      <c r="F24" s="86">
        <f t="shared" si="3"/>
        <v>1511.1507355038357</v>
      </c>
      <c r="G24" s="86">
        <f t="shared" si="4"/>
        <v>970814.6796286647</v>
      </c>
      <c r="H24" s="98">
        <f t="shared" si="5"/>
        <v>0.9708146796286647</v>
      </c>
      <c r="J24" s="88">
        <f t="shared" si="6"/>
        <v>928907.4406120471</v>
      </c>
      <c r="K24" s="88">
        <f>IF(N23=0,0,IF(N23&lt;BondCalculator!$B$12+BondCalculator!$B$7,N23+L24,BondCalculator!$B$12+BondCalculator!$B$7))</f>
        <v>11816.433869864442</v>
      </c>
      <c r="L24" s="88">
        <f>J24*BondCalculator!$B$5/12</f>
        <v>7934.417721894569</v>
      </c>
      <c r="M24" s="88">
        <f t="shared" si="7"/>
        <v>3882.0161479698736</v>
      </c>
      <c r="N24" s="88">
        <f t="shared" si="0"/>
        <v>925025.4244640772</v>
      </c>
      <c r="P24" s="88">
        <f t="shared" si="1"/>
        <v>370.8654124660379</v>
      </c>
      <c r="Q24" s="89">
        <f>-PV(BondCalculator!$B$9/12,B24,0,1,0)</f>
        <v>0.9005601037479142</v>
      </c>
      <c r="S24" s="90">
        <f t="shared" si="2"/>
        <v>333.98659432692807</v>
      </c>
    </row>
    <row r="25" spans="1:19" ht="15" customHeight="1">
      <c r="A25" s="85" t="s">
        <v>99</v>
      </c>
      <c r="B25" s="96">
        <v>22</v>
      </c>
      <c r="C25" s="86">
        <f t="shared" si="8"/>
        <v>970814.6796286647</v>
      </c>
      <c r="D25" s="86">
        <f>IF(G24=0,0,IF(G24&lt;BondCalculator!$B$12,G24+E25,BondCalculator!$B$12))</f>
        <v>9816.433869864442</v>
      </c>
      <c r="E25" s="86">
        <f>C25*BondCalculator!$B$5/12</f>
        <v>8292.375388494844</v>
      </c>
      <c r="F25" s="86">
        <f t="shared" si="3"/>
        <v>1524.0584813695987</v>
      </c>
      <c r="G25" s="86">
        <f t="shared" si="4"/>
        <v>969290.6211472951</v>
      </c>
      <c r="H25" s="98">
        <f t="shared" si="5"/>
        <v>0.9692906211472951</v>
      </c>
      <c r="J25" s="88">
        <f t="shared" si="6"/>
        <v>925025.4244640772</v>
      </c>
      <c r="K25" s="88">
        <f>IF(N24=0,0,IF(N24&lt;BondCalculator!$B$12+BondCalculator!$B$7,N24+L25,BondCalculator!$B$12+BondCalculator!$B$7))</f>
        <v>11816.433869864442</v>
      </c>
      <c r="L25" s="88">
        <f>J25*BondCalculator!$B$5/12</f>
        <v>7901.258833963992</v>
      </c>
      <c r="M25" s="88">
        <f t="shared" si="7"/>
        <v>3915.17503590045</v>
      </c>
      <c r="N25" s="88">
        <f t="shared" si="0"/>
        <v>921110.2494281768</v>
      </c>
      <c r="P25" s="88">
        <f t="shared" si="1"/>
        <v>391.1165545308513</v>
      </c>
      <c r="Q25" s="89">
        <f>-PV(BondCalculator!$B$9/12,B25,0,1,0)</f>
        <v>0.8960797052218052</v>
      </c>
      <c r="S25" s="90">
        <f t="shared" si="2"/>
        <v>350.47160689137337</v>
      </c>
    </row>
    <row r="26" spans="1:19" ht="15" customHeight="1">
      <c r="A26" s="85" t="s">
        <v>99</v>
      </c>
      <c r="B26" s="96">
        <v>23</v>
      </c>
      <c r="C26" s="86">
        <f t="shared" si="8"/>
        <v>969290.6211472951</v>
      </c>
      <c r="D26" s="86">
        <f>IF(G25=0,0,IF(G25&lt;BondCalculator!$B$12,G25+E26,BondCalculator!$B$12))</f>
        <v>9816.433869864442</v>
      </c>
      <c r="E26" s="86">
        <f>C26*BondCalculator!$B$5/12</f>
        <v>8279.357388966479</v>
      </c>
      <c r="F26" s="86">
        <f t="shared" si="3"/>
        <v>1537.0764808979638</v>
      </c>
      <c r="G26" s="86">
        <f t="shared" si="4"/>
        <v>967753.5446663972</v>
      </c>
      <c r="H26" s="98">
        <f t="shared" si="5"/>
        <v>0.9677535446663972</v>
      </c>
      <c r="J26" s="88">
        <f t="shared" si="6"/>
        <v>921110.2494281768</v>
      </c>
      <c r="K26" s="88">
        <f>IF(N25=0,0,IF(N25&lt;BondCalculator!$B$12+BondCalculator!$B$7,N25+L26,BondCalculator!$B$12+BondCalculator!$B$7))</f>
        <v>11816.433869864442</v>
      </c>
      <c r="L26" s="88">
        <f>J26*BondCalculator!$B$5/12</f>
        <v>7867.816713865676</v>
      </c>
      <c r="M26" s="88">
        <f t="shared" si="7"/>
        <v>3948.617155998766</v>
      </c>
      <c r="N26" s="88">
        <f t="shared" si="0"/>
        <v>917161.6322721781</v>
      </c>
      <c r="P26" s="88">
        <f t="shared" si="1"/>
        <v>411.5406751008022</v>
      </c>
      <c r="Q26" s="89">
        <f>-PV(BondCalculator!$B$9/12,B26,0,1,0)</f>
        <v>0.8916215972356273</v>
      </c>
      <c r="S26" s="90">
        <f t="shared" si="2"/>
        <v>366.93855406080564</v>
      </c>
    </row>
    <row r="27" spans="1:19" ht="15" customHeight="1">
      <c r="A27" s="85" t="s">
        <v>99</v>
      </c>
      <c r="B27" s="96">
        <v>24</v>
      </c>
      <c r="C27" s="86">
        <f t="shared" si="8"/>
        <v>967753.5446663972</v>
      </c>
      <c r="D27" s="86">
        <f>IF(G26=0,0,IF(G26&lt;BondCalculator!$B$12,G26+E27,BondCalculator!$B$12))</f>
        <v>9816.433869864442</v>
      </c>
      <c r="E27" s="86">
        <f>C27*BondCalculator!$B$5/12</f>
        <v>8266.228194025474</v>
      </c>
      <c r="F27" s="86">
        <f t="shared" si="3"/>
        <v>1550.205675838968</v>
      </c>
      <c r="G27" s="86">
        <f t="shared" si="4"/>
        <v>966203.3389905582</v>
      </c>
      <c r="H27" s="98">
        <f t="shared" si="5"/>
        <v>0.9662033389905582</v>
      </c>
      <c r="J27" s="88">
        <f t="shared" si="6"/>
        <v>917161.6322721781</v>
      </c>
      <c r="K27" s="88">
        <f>IF(N26=0,0,IF(N26&lt;BondCalculator!$B$12+BondCalculator!$B$7,N26+L27,BondCalculator!$B$12+BondCalculator!$B$7))</f>
        <v>11816.433869864442</v>
      </c>
      <c r="L27" s="88">
        <f>J27*BondCalculator!$B$5/12</f>
        <v>7834.0889423248545</v>
      </c>
      <c r="M27" s="88">
        <f t="shared" si="7"/>
        <v>3982.344927539588</v>
      </c>
      <c r="N27" s="88">
        <f t="shared" si="0"/>
        <v>913179.2873446385</v>
      </c>
      <c r="P27" s="88">
        <f t="shared" si="1"/>
        <v>432.13925170061975</v>
      </c>
      <c r="Q27" s="89">
        <f>-PV(BondCalculator!$B$9/12,B27,0,1,0)</f>
        <v>0.8871856688911713</v>
      </c>
      <c r="S27" s="90">
        <f t="shared" si="2"/>
        <v>383.3877510741446</v>
      </c>
    </row>
    <row r="28" spans="1:19" ht="15" customHeight="1">
      <c r="A28" s="85" t="s">
        <v>100</v>
      </c>
      <c r="B28" s="96">
        <v>25</v>
      </c>
      <c r="C28" s="86">
        <f t="shared" si="8"/>
        <v>966203.3389905582</v>
      </c>
      <c r="D28" s="86">
        <f>IF(G27=0,0,IF(G27&lt;BondCalculator!$B$12,G27+E28,BondCalculator!$B$12))</f>
        <v>9816.433869864442</v>
      </c>
      <c r="E28" s="86">
        <f>C28*BondCalculator!$B$5/12</f>
        <v>8252.986853877685</v>
      </c>
      <c r="F28" s="86">
        <f t="shared" si="3"/>
        <v>1563.4470159867578</v>
      </c>
      <c r="G28" s="86">
        <f t="shared" si="4"/>
        <v>964639.8919745714</v>
      </c>
      <c r="H28" s="98">
        <f t="shared" si="5"/>
        <v>0.9646398919745713</v>
      </c>
      <c r="J28" s="88">
        <f t="shared" si="6"/>
        <v>913179.2873446385</v>
      </c>
      <c r="K28" s="88">
        <f>IF(N27=0,0,IF(N27&lt;BondCalculator!$B$12+BondCalculator!$B$7,N27+L28,BondCalculator!$B$12+BondCalculator!$B$7))</f>
        <v>11816.433869864442</v>
      </c>
      <c r="L28" s="88">
        <f>J28*BondCalculator!$B$5/12</f>
        <v>7800.073079402119</v>
      </c>
      <c r="M28" s="88">
        <f t="shared" si="7"/>
        <v>4016.360790462323</v>
      </c>
      <c r="N28" s="88">
        <f t="shared" si="0"/>
        <v>909162.9265541761</v>
      </c>
      <c r="P28" s="88">
        <f t="shared" si="1"/>
        <v>452.91377447556533</v>
      </c>
      <c r="Q28" s="89">
        <f>-PV(BondCalculator!$B$9/12,B28,0,1,0)</f>
        <v>0.8827718098419618</v>
      </c>
      <c r="S28" s="90">
        <f t="shared" si="2"/>
        <v>399.8195123961489</v>
      </c>
    </row>
    <row r="29" spans="1:19" ht="15" customHeight="1">
      <c r="A29" s="85" t="s">
        <v>100</v>
      </c>
      <c r="B29" s="96">
        <v>26</v>
      </c>
      <c r="C29" s="86">
        <f t="shared" si="8"/>
        <v>964639.8919745714</v>
      </c>
      <c r="D29" s="86">
        <f>IF(G28=0,0,IF(G28&lt;BondCalculator!$B$12,G28+E29,BondCalculator!$B$12))</f>
        <v>9816.433869864442</v>
      </c>
      <c r="E29" s="86">
        <f>C29*BondCalculator!$B$5/12</f>
        <v>8239.63241061613</v>
      </c>
      <c r="F29" s="86">
        <f t="shared" si="3"/>
        <v>1576.8014592483123</v>
      </c>
      <c r="G29" s="86">
        <f t="shared" si="4"/>
        <v>963063.0905153231</v>
      </c>
      <c r="H29" s="98">
        <f t="shared" si="5"/>
        <v>0.9630630905153231</v>
      </c>
      <c r="J29" s="88">
        <f t="shared" si="6"/>
        <v>909162.9265541761</v>
      </c>
      <c r="K29" s="88">
        <f>IF(N28=0,0,IF(N28&lt;BondCalculator!$B$12+BondCalculator!$B$7,N28+L29,BondCalculator!$B$12+BondCalculator!$B$7))</f>
        <v>11816.433869864442</v>
      </c>
      <c r="L29" s="88">
        <f>J29*BondCalculator!$B$5/12</f>
        <v>7765.7666643169205</v>
      </c>
      <c r="M29" s="88">
        <f t="shared" si="7"/>
        <v>4050.667205547522</v>
      </c>
      <c r="N29" s="88">
        <f t="shared" si="0"/>
        <v>905112.2593486286</v>
      </c>
      <c r="P29" s="88">
        <f t="shared" si="1"/>
        <v>473.8657462992096</v>
      </c>
      <c r="Q29" s="89">
        <f>-PV(BondCalculator!$B$9/12,B29,0,1,0)</f>
        <v>0.8783799102905093</v>
      </c>
      <c r="S29" s="90">
        <f t="shared" si="2"/>
        <v>416.234151724045</v>
      </c>
    </row>
    <row r="30" spans="1:19" ht="15" customHeight="1">
      <c r="A30" s="85" t="s">
        <v>100</v>
      </c>
      <c r="B30" s="96">
        <v>27</v>
      </c>
      <c r="C30" s="86">
        <f t="shared" si="8"/>
        <v>963063.0905153231</v>
      </c>
      <c r="D30" s="86">
        <f>IF(G29=0,0,IF(G29&lt;BondCalculator!$B$12,G29+E30,BondCalculator!$B$12))</f>
        <v>9816.433869864442</v>
      </c>
      <c r="E30" s="86">
        <f>C30*BondCalculator!$B$5/12</f>
        <v>8226.163898151717</v>
      </c>
      <c r="F30" s="86">
        <f t="shared" si="3"/>
        <v>1590.2699717127252</v>
      </c>
      <c r="G30" s="86">
        <f t="shared" si="4"/>
        <v>961472.8205436104</v>
      </c>
      <c r="H30" s="98">
        <f t="shared" si="5"/>
        <v>0.9614728205436104</v>
      </c>
      <c r="J30" s="88">
        <f t="shared" si="6"/>
        <v>905112.2593486286</v>
      </c>
      <c r="K30" s="88">
        <f>IF(N29=0,0,IF(N29&lt;BondCalculator!$B$12+BondCalculator!$B$7,N29+L30,BondCalculator!$B$12+BondCalculator!$B$7))</f>
        <v>11816.433869864442</v>
      </c>
      <c r="L30" s="88">
        <f>J30*BondCalculator!$B$5/12</f>
        <v>7731.1672152695355</v>
      </c>
      <c r="M30" s="88">
        <f t="shared" si="7"/>
        <v>4085.266654594907</v>
      </c>
      <c r="N30" s="88">
        <f t="shared" si="0"/>
        <v>901026.9926940337</v>
      </c>
      <c r="P30" s="88">
        <f t="shared" si="1"/>
        <v>494.99668288218163</v>
      </c>
      <c r="Q30" s="89">
        <f>-PV(BondCalculator!$B$9/12,B30,0,1,0)</f>
        <v>0.8740098609855815</v>
      </c>
      <c r="S30" s="90">
        <f t="shared" si="2"/>
        <v>432.63198199417957</v>
      </c>
    </row>
    <row r="31" spans="1:19" ht="15" customHeight="1">
      <c r="A31" s="85" t="s">
        <v>100</v>
      </c>
      <c r="B31" s="96">
        <v>28</v>
      </c>
      <c r="C31" s="86">
        <f t="shared" si="8"/>
        <v>961472.8205436104</v>
      </c>
      <c r="D31" s="86">
        <f>IF(G30=0,0,IF(G30&lt;BondCalculator!$B$12,G30+E31,BondCalculator!$B$12))</f>
        <v>9816.433869864442</v>
      </c>
      <c r="E31" s="86">
        <f>C31*BondCalculator!$B$5/12</f>
        <v>8212.58034214334</v>
      </c>
      <c r="F31" s="86">
        <f t="shared" si="3"/>
        <v>1603.853527721103</v>
      </c>
      <c r="G31" s="86">
        <f t="shared" si="4"/>
        <v>959868.9670158892</v>
      </c>
      <c r="H31" s="98">
        <f t="shared" si="5"/>
        <v>0.9598689670158892</v>
      </c>
      <c r="J31" s="88">
        <f t="shared" si="6"/>
        <v>901026.9926940337</v>
      </c>
      <c r="K31" s="88">
        <f>IF(N30=0,0,IF(N30&lt;BondCalculator!$B$12+BondCalculator!$B$7,N30+L31,BondCalculator!$B$12+BondCalculator!$B$7))</f>
        <v>11816.433869864442</v>
      </c>
      <c r="L31" s="88">
        <f>J31*BondCalculator!$B$5/12</f>
        <v>7696.272229261537</v>
      </c>
      <c r="M31" s="88">
        <f t="shared" si="7"/>
        <v>4120.161640602905</v>
      </c>
      <c r="N31" s="88">
        <f t="shared" si="0"/>
        <v>896906.8310534308</v>
      </c>
      <c r="P31" s="88">
        <f t="shared" si="1"/>
        <v>516.3081128818021</v>
      </c>
      <c r="Q31" s="89">
        <f>-PV(BondCalculator!$B$9/12,B31,0,1,0)</f>
        <v>0.8696615532194844</v>
      </c>
      <c r="S31" s="90">
        <f t="shared" si="2"/>
        <v>449.0133153886089</v>
      </c>
    </row>
    <row r="32" spans="1:19" ht="15" customHeight="1">
      <c r="A32" s="85" t="s">
        <v>100</v>
      </c>
      <c r="B32" s="96">
        <v>29</v>
      </c>
      <c r="C32" s="86">
        <f t="shared" si="8"/>
        <v>959868.9670158892</v>
      </c>
      <c r="D32" s="86">
        <f>IF(G31=0,0,IF(G31&lt;BondCalculator!$B$12,G31+E32,BondCalculator!$B$12))</f>
        <v>9816.433869864442</v>
      </c>
      <c r="E32" s="86">
        <f>C32*BondCalculator!$B$5/12</f>
        <v>8198.880759927388</v>
      </c>
      <c r="F32" s="86">
        <f t="shared" si="3"/>
        <v>1617.5531099370546</v>
      </c>
      <c r="G32" s="86">
        <f t="shared" si="4"/>
        <v>958251.4139059522</v>
      </c>
      <c r="H32" s="98">
        <f t="shared" si="5"/>
        <v>0.9582514139059523</v>
      </c>
      <c r="J32" s="88">
        <f t="shared" si="6"/>
        <v>896906.8310534308</v>
      </c>
      <c r="K32" s="88">
        <f>IF(N31=0,0,IF(N31&lt;BondCalculator!$B$12+BondCalculator!$B$7,N31+L32,BondCalculator!$B$12+BondCalculator!$B$7))</f>
        <v>11816.433869864442</v>
      </c>
      <c r="L32" s="88">
        <f>J32*BondCalculator!$B$5/12</f>
        <v>7661.079181914721</v>
      </c>
      <c r="M32" s="88">
        <f t="shared" si="7"/>
        <v>4155.354687949722</v>
      </c>
      <c r="N32" s="88">
        <f t="shared" si="0"/>
        <v>892751.476365481</v>
      </c>
      <c r="P32" s="88">
        <f t="shared" si="1"/>
        <v>537.801578012667</v>
      </c>
      <c r="Q32" s="89">
        <f>-PV(BondCalculator!$B$9/12,B32,0,1,0)</f>
        <v>0.8653348788253576</v>
      </c>
      <c r="S32" s="90">
        <f t="shared" si="2"/>
        <v>465.3784633416774</v>
      </c>
    </row>
    <row r="33" spans="1:19" ht="15" customHeight="1">
      <c r="A33" s="85" t="s">
        <v>100</v>
      </c>
      <c r="B33" s="96">
        <v>30</v>
      </c>
      <c r="C33" s="86">
        <f t="shared" si="8"/>
        <v>958251.4139059522</v>
      </c>
      <c r="D33" s="86">
        <f>IF(G32=0,0,IF(G32&lt;BondCalculator!$B$12,G32+E33,BondCalculator!$B$12))</f>
        <v>9816.433869864442</v>
      </c>
      <c r="E33" s="86">
        <f>C33*BondCalculator!$B$5/12</f>
        <v>8185.0641604466755</v>
      </c>
      <c r="F33" s="86">
        <f t="shared" si="3"/>
        <v>1631.369709417767</v>
      </c>
      <c r="G33" s="86">
        <f t="shared" si="4"/>
        <v>956620.0441965344</v>
      </c>
      <c r="H33" s="98">
        <f t="shared" si="5"/>
        <v>0.9566200441965345</v>
      </c>
      <c r="J33" s="88">
        <f t="shared" si="6"/>
        <v>892751.476365481</v>
      </c>
      <c r="K33" s="88">
        <f>IF(N32=0,0,IF(N32&lt;BondCalculator!$B$12+BondCalculator!$B$7,N32+L33,BondCalculator!$B$12+BondCalculator!$B$7))</f>
        <v>11816.433869864442</v>
      </c>
      <c r="L33" s="88">
        <f>J33*BondCalculator!$B$5/12</f>
        <v>7625.585527288484</v>
      </c>
      <c r="M33" s="88">
        <f t="shared" si="7"/>
        <v>4190.848342575959</v>
      </c>
      <c r="N33" s="88">
        <f t="shared" si="0"/>
        <v>888560.6280229051</v>
      </c>
      <c r="P33" s="88">
        <f t="shared" si="1"/>
        <v>559.4786331581918</v>
      </c>
      <c r="Q33" s="89">
        <f>-PV(BondCalculator!$B$9/12,B33,0,1,0)</f>
        <v>0.8610297301744854</v>
      </c>
      <c r="S33" s="90">
        <f t="shared" si="2"/>
        <v>481.7277365465877</v>
      </c>
    </row>
    <row r="34" spans="1:19" ht="15" customHeight="1">
      <c r="A34" s="85" t="s">
        <v>100</v>
      </c>
      <c r="B34" s="96">
        <v>31</v>
      </c>
      <c r="C34" s="86">
        <f t="shared" si="8"/>
        <v>956620.0441965344</v>
      </c>
      <c r="D34" s="86">
        <f>IF(G33=0,0,IF(G33&lt;BondCalculator!$B$12,G33+E34,BondCalculator!$B$12))</f>
        <v>9816.433869864442</v>
      </c>
      <c r="E34" s="86">
        <f>C34*BondCalculator!$B$5/12</f>
        <v>8171.129544178731</v>
      </c>
      <c r="F34" s="86">
        <f t="shared" si="3"/>
        <v>1645.3043256857118</v>
      </c>
      <c r="G34" s="86">
        <f t="shared" si="4"/>
        <v>954974.7398708487</v>
      </c>
      <c r="H34" s="98">
        <f t="shared" si="5"/>
        <v>0.9549747398708487</v>
      </c>
      <c r="J34" s="88">
        <f t="shared" si="6"/>
        <v>888560.6280229051</v>
      </c>
      <c r="K34" s="88">
        <f>IF(N33=0,0,IF(N33&lt;BondCalculator!$B$12+BondCalculator!$B$7,N33+L34,BondCalculator!$B$12+BondCalculator!$B$7))</f>
        <v>11816.433869864442</v>
      </c>
      <c r="L34" s="88">
        <f>J34*BondCalculator!$B$5/12</f>
        <v>7589.788697695647</v>
      </c>
      <c r="M34" s="88">
        <f t="shared" si="7"/>
        <v>4226.645172168795</v>
      </c>
      <c r="N34" s="88">
        <f t="shared" si="0"/>
        <v>884333.9828507362</v>
      </c>
      <c r="P34" s="88">
        <f t="shared" si="1"/>
        <v>581.3408464830836</v>
      </c>
      <c r="Q34" s="89">
        <f>-PV(BondCalculator!$B$9/12,B34,0,1,0)</f>
        <v>0.8567460001736175</v>
      </c>
      <c r="S34" s="90">
        <f t="shared" si="2"/>
        <v>498.0614449619269</v>
      </c>
    </row>
    <row r="35" spans="1:19" ht="15" customHeight="1">
      <c r="A35" s="85" t="s">
        <v>100</v>
      </c>
      <c r="B35" s="96">
        <v>32</v>
      </c>
      <c r="C35" s="86">
        <f t="shared" si="8"/>
        <v>954974.7398708487</v>
      </c>
      <c r="D35" s="86">
        <f>IF(G34=0,0,IF(G34&lt;BondCalculator!$B$12,G34+E35,BondCalculator!$B$12))</f>
        <v>9816.433869864442</v>
      </c>
      <c r="E35" s="86">
        <f>C35*BondCalculator!$B$5/12</f>
        <v>8157.075903063499</v>
      </c>
      <c r="F35" s="86">
        <f t="shared" si="3"/>
        <v>1659.3579668009434</v>
      </c>
      <c r="G35" s="86">
        <f t="shared" si="4"/>
        <v>953315.3819040478</v>
      </c>
      <c r="H35" s="98">
        <f t="shared" si="5"/>
        <v>0.9533153819040477</v>
      </c>
      <c r="J35" s="88">
        <f t="shared" si="6"/>
        <v>884333.9828507362</v>
      </c>
      <c r="K35" s="88">
        <f>IF(N34=0,0,IF(N34&lt;BondCalculator!$B$12+BondCalculator!$B$7,N34+L35,BondCalculator!$B$12+BondCalculator!$B$7))</f>
        <v>11816.433869864442</v>
      </c>
      <c r="L35" s="88">
        <f>J35*BondCalculator!$B$5/12</f>
        <v>7553.686103516705</v>
      </c>
      <c r="M35" s="88">
        <f t="shared" si="7"/>
        <v>4262.7477663477375</v>
      </c>
      <c r="N35" s="88">
        <f t="shared" si="0"/>
        <v>880071.2350843885</v>
      </c>
      <c r="P35" s="88">
        <f t="shared" si="1"/>
        <v>603.3897995467942</v>
      </c>
      <c r="Q35" s="89">
        <f>-PV(BondCalculator!$B$9/12,B35,0,1,0)</f>
        <v>0.852483582262306</v>
      </c>
      <c r="S35" s="90">
        <f t="shared" si="2"/>
        <v>514.3798978181859</v>
      </c>
    </row>
    <row r="36" spans="1:19" ht="15" customHeight="1">
      <c r="A36" s="85" t="s">
        <v>100</v>
      </c>
      <c r="B36" s="96">
        <v>33</v>
      </c>
      <c r="C36" s="86">
        <f t="shared" si="8"/>
        <v>953315.3819040478</v>
      </c>
      <c r="D36" s="86">
        <f>IF(G35=0,0,IF(G35&lt;BondCalculator!$B$12,G35+E36,BondCalculator!$B$12))</f>
        <v>9816.433869864442</v>
      </c>
      <c r="E36" s="86">
        <f>C36*BondCalculator!$B$5/12</f>
        <v>8142.902220430408</v>
      </c>
      <c r="F36" s="86">
        <f t="shared" si="3"/>
        <v>1673.531649434034</v>
      </c>
      <c r="G36" s="86">
        <f t="shared" si="4"/>
        <v>951641.8502546138</v>
      </c>
      <c r="H36" s="98">
        <f t="shared" si="5"/>
        <v>0.9516418502546138</v>
      </c>
      <c r="J36" s="88">
        <f t="shared" si="6"/>
        <v>880071.2350843885</v>
      </c>
      <c r="K36" s="88">
        <f>IF(N35=0,0,IF(N35&lt;BondCalculator!$B$12+BondCalculator!$B$7,N35+L36,BondCalculator!$B$12+BondCalculator!$B$7))</f>
        <v>11816.433869864442</v>
      </c>
      <c r="L36" s="88">
        <f>J36*BondCalculator!$B$5/12</f>
        <v>7517.275133012485</v>
      </c>
      <c r="M36" s="88">
        <f t="shared" si="7"/>
        <v>4299.158736851958</v>
      </c>
      <c r="N36" s="88">
        <f t="shared" si="0"/>
        <v>875772.0763475365</v>
      </c>
      <c r="P36" s="88">
        <f t="shared" si="1"/>
        <v>625.6270874179236</v>
      </c>
      <c r="Q36" s="89">
        <f>-PV(BondCalculator!$B$9/12,B36,0,1,0)</f>
        <v>0.848242370410255</v>
      </c>
      <c r="S36" s="90">
        <f t="shared" si="2"/>
        <v>530.6834036242433</v>
      </c>
    </row>
    <row r="37" spans="1:19" ht="15" customHeight="1">
      <c r="A37" s="85" t="s">
        <v>100</v>
      </c>
      <c r="B37" s="96">
        <v>34</v>
      </c>
      <c r="C37" s="86">
        <f t="shared" si="8"/>
        <v>951641.8502546138</v>
      </c>
      <c r="D37" s="86">
        <f>IF(G36=0,0,IF(G36&lt;BondCalculator!$B$12,G36+E37,BondCalculator!$B$12))</f>
        <v>9816.433869864442</v>
      </c>
      <c r="E37" s="86">
        <f>C37*BondCalculator!$B$5/12</f>
        <v>8128.607470924825</v>
      </c>
      <c r="F37" s="86">
        <f t="shared" si="3"/>
        <v>1687.8263989396173</v>
      </c>
      <c r="G37" s="86">
        <f t="shared" si="4"/>
        <v>949954.0238556742</v>
      </c>
      <c r="H37" s="98">
        <f t="shared" si="5"/>
        <v>0.9499540238556742</v>
      </c>
      <c r="J37" s="88">
        <f t="shared" si="6"/>
        <v>875772.0763475365</v>
      </c>
      <c r="K37" s="88">
        <f>IF(N36=0,0,IF(N36&lt;BondCalculator!$B$12+BondCalculator!$B$7,N36+L37,BondCalculator!$B$12+BondCalculator!$B$7))</f>
        <v>11816.433869864442</v>
      </c>
      <c r="L37" s="88">
        <f>J37*BondCalculator!$B$5/12</f>
        <v>7480.553152135207</v>
      </c>
      <c r="M37" s="88">
        <f t="shared" si="7"/>
        <v>4335.880717729236</v>
      </c>
      <c r="N37" s="88">
        <f t="shared" si="0"/>
        <v>871436.1956298073</v>
      </c>
      <c r="P37" s="88">
        <f t="shared" si="1"/>
        <v>648.0543187896183</v>
      </c>
      <c r="Q37" s="89">
        <f>-PV(BondCalculator!$B$9/12,B37,0,1,0)</f>
        <v>0.8440222591146816</v>
      </c>
      <c r="S37" s="90">
        <f t="shared" si="2"/>
        <v>546.9722701738397</v>
      </c>
    </row>
    <row r="38" spans="1:19" ht="15" customHeight="1">
      <c r="A38" s="85" t="s">
        <v>100</v>
      </c>
      <c r="B38" s="96">
        <v>35</v>
      </c>
      <c r="C38" s="86">
        <f t="shared" si="8"/>
        <v>949954.0238556742</v>
      </c>
      <c r="D38" s="86">
        <f>IF(G37=0,0,IF(G37&lt;BondCalculator!$B$12,G37+E38,BondCalculator!$B$12))</f>
        <v>9816.433869864442</v>
      </c>
      <c r="E38" s="86">
        <f>C38*BondCalculator!$B$5/12</f>
        <v>8114.190620433884</v>
      </c>
      <c r="F38" s="86">
        <f t="shared" si="3"/>
        <v>1702.2432494305585</v>
      </c>
      <c r="G38" s="86">
        <f t="shared" si="4"/>
        <v>948251.7806062436</v>
      </c>
      <c r="H38" s="98">
        <f t="shared" si="5"/>
        <v>0.9482517806062436</v>
      </c>
      <c r="J38" s="88">
        <f t="shared" si="6"/>
        <v>871436.1956298073</v>
      </c>
      <c r="K38" s="88">
        <f>IF(N37=0,0,IF(N37&lt;BondCalculator!$B$12+BondCalculator!$B$7,N37+L38,BondCalculator!$B$12+BondCalculator!$B$7))</f>
        <v>11816.433869864442</v>
      </c>
      <c r="L38" s="88">
        <f>J38*BondCalculator!$B$5/12</f>
        <v>7443.517504337938</v>
      </c>
      <c r="M38" s="88">
        <f t="shared" si="7"/>
        <v>4372.916365526505</v>
      </c>
      <c r="N38" s="88">
        <f t="shared" si="0"/>
        <v>867063.2792642808</v>
      </c>
      <c r="P38" s="88">
        <f t="shared" si="1"/>
        <v>670.6731160959462</v>
      </c>
      <c r="Q38" s="89">
        <f>-PV(BondCalculator!$B$9/12,B38,0,1,0)</f>
        <v>0.8398231433976932</v>
      </c>
      <c r="S38" s="90">
        <f t="shared" si="2"/>
        <v>563.2468045520235</v>
      </c>
    </row>
    <row r="39" spans="1:19" ht="15" customHeight="1">
      <c r="A39" s="85" t="s">
        <v>100</v>
      </c>
      <c r="B39" s="96">
        <v>36</v>
      </c>
      <c r="C39" s="86">
        <f t="shared" si="8"/>
        <v>948251.7806062436</v>
      </c>
      <c r="D39" s="86">
        <f>IF(G38=0,0,IF(G38&lt;BondCalculator!$B$12,G38+E39,BondCalculator!$B$12))</f>
        <v>9816.433869864442</v>
      </c>
      <c r="E39" s="86">
        <f>C39*BondCalculator!$B$5/12</f>
        <v>8099.650626011665</v>
      </c>
      <c r="F39" s="86">
        <f t="shared" si="3"/>
        <v>1716.7832438527776</v>
      </c>
      <c r="G39" s="86">
        <f t="shared" si="4"/>
        <v>946534.9973623909</v>
      </c>
      <c r="H39" s="98">
        <f t="shared" si="5"/>
        <v>0.9465349973623909</v>
      </c>
      <c r="J39" s="88">
        <f t="shared" si="6"/>
        <v>867063.2792642808</v>
      </c>
      <c r="K39" s="88">
        <f>IF(N38=0,0,IF(N38&lt;BondCalculator!$B$12+BondCalculator!$B$7,N38+L39,BondCalculator!$B$12+BondCalculator!$B$7))</f>
        <v>11816.433869864442</v>
      </c>
      <c r="L39" s="88">
        <f>J39*BondCalculator!$B$5/12</f>
        <v>7406.165510382398</v>
      </c>
      <c r="M39" s="88">
        <f t="shared" si="7"/>
        <v>4410.268359482045</v>
      </c>
      <c r="N39" s="88">
        <f t="shared" si="0"/>
        <v>862653.0109047987</v>
      </c>
      <c r="P39" s="88">
        <f t="shared" si="1"/>
        <v>693.485115629267</v>
      </c>
      <c r="Q39" s="89">
        <f>-PV(BondCalculator!$B$9/12,B39,0,1,0)</f>
        <v>0.8356449188036751</v>
      </c>
      <c r="S39" s="90">
        <f t="shared" si="2"/>
        <v>579.5073131415761</v>
      </c>
    </row>
    <row r="40" spans="1:19" ht="15" customHeight="1">
      <c r="A40" s="85" t="s">
        <v>101</v>
      </c>
      <c r="B40" s="96">
        <v>37</v>
      </c>
      <c r="C40" s="86">
        <f t="shared" si="8"/>
        <v>946534.9973623909</v>
      </c>
      <c r="D40" s="86">
        <f>IF(G39=0,0,IF(G39&lt;BondCalculator!$B$12,G39+E40,BondCalculator!$B$12))</f>
        <v>9816.433869864442</v>
      </c>
      <c r="E40" s="86">
        <f>C40*BondCalculator!$B$5/12</f>
        <v>8084.986435803755</v>
      </c>
      <c r="F40" s="86">
        <f t="shared" si="3"/>
        <v>1731.4474340606876</v>
      </c>
      <c r="G40" s="86">
        <f t="shared" si="4"/>
        <v>944803.5499283301</v>
      </c>
      <c r="H40" s="98">
        <f t="shared" si="5"/>
        <v>0.9448035499283302</v>
      </c>
      <c r="J40" s="88">
        <f t="shared" si="6"/>
        <v>862653.0109047987</v>
      </c>
      <c r="K40" s="88">
        <f>IF(N39=0,0,IF(N39&lt;BondCalculator!$B$12+BondCalculator!$B$7,N39+L40,BondCalculator!$B$12+BondCalculator!$B$7))</f>
        <v>11816.433869864442</v>
      </c>
      <c r="L40" s="88">
        <f>J40*BondCalculator!$B$5/12</f>
        <v>7368.494468145156</v>
      </c>
      <c r="M40" s="88">
        <f t="shared" si="7"/>
        <v>4447.939401719286</v>
      </c>
      <c r="N40" s="88">
        <f t="shared" si="0"/>
        <v>858205.0715030795</v>
      </c>
      <c r="P40" s="88">
        <f t="shared" si="1"/>
        <v>716.4919676585987</v>
      </c>
      <c r="Q40" s="89">
        <f>-PV(BondCalculator!$B$9/12,B40,0,1,0)</f>
        <v>0.8314874813966918</v>
      </c>
      <c r="S40" s="90">
        <f t="shared" si="2"/>
        <v>595.7541016294082</v>
      </c>
    </row>
    <row r="41" spans="1:19" ht="15" customHeight="1">
      <c r="A41" s="85" t="s">
        <v>101</v>
      </c>
      <c r="B41" s="96">
        <v>38</v>
      </c>
      <c r="C41" s="86">
        <f t="shared" si="8"/>
        <v>944803.5499283301</v>
      </c>
      <c r="D41" s="86">
        <f>IF(G40=0,0,IF(G40&lt;BondCalculator!$B$12,G40+E41,BondCalculator!$B$12))</f>
        <v>9816.433869864442</v>
      </c>
      <c r="E41" s="86">
        <f>C41*BondCalculator!$B$5/12</f>
        <v>8070.196988971152</v>
      </c>
      <c r="F41" s="86">
        <f t="shared" si="3"/>
        <v>1746.2368808932906</v>
      </c>
      <c r="G41" s="86">
        <f t="shared" si="4"/>
        <v>943057.3130474369</v>
      </c>
      <c r="H41" s="98">
        <f t="shared" si="5"/>
        <v>0.9430573130474369</v>
      </c>
      <c r="J41" s="88">
        <f t="shared" si="6"/>
        <v>858205.0715030795</v>
      </c>
      <c r="K41" s="88">
        <f>IF(N40=0,0,IF(N40&lt;BondCalculator!$B$12+BondCalculator!$B$7,N40+L41,BondCalculator!$B$12+BondCalculator!$B$7))</f>
        <v>11816.433869864442</v>
      </c>
      <c r="L41" s="88">
        <f>J41*BondCalculator!$B$5/12</f>
        <v>7330.501652422136</v>
      </c>
      <c r="M41" s="88">
        <f t="shared" si="7"/>
        <v>4485.932217442306</v>
      </c>
      <c r="N41" s="88">
        <f t="shared" si="0"/>
        <v>853719.1392856372</v>
      </c>
      <c r="P41" s="88">
        <f t="shared" si="1"/>
        <v>739.6953365490153</v>
      </c>
      <c r="Q41" s="89">
        <f>-PV(BondCalculator!$B$9/12,B41,0,1,0)</f>
        <v>0.8273507277579023</v>
      </c>
      <c r="S41" s="90">
        <f t="shared" si="2"/>
        <v>611.9874750129543</v>
      </c>
    </row>
    <row r="42" spans="1:19" ht="15" customHeight="1">
      <c r="A42" s="85" t="s">
        <v>101</v>
      </c>
      <c r="B42" s="96">
        <v>39</v>
      </c>
      <c r="C42" s="86">
        <f t="shared" si="8"/>
        <v>943057.3130474369</v>
      </c>
      <c r="D42" s="86">
        <f>IF(G41=0,0,IF(G41&lt;BondCalculator!$B$12,G41+E42,BondCalculator!$B$12))</f>
        <v>9816.433869864442</v>
      </c>
      <c r="E42" s="86">
        <f>C42*BondCalculator!$B$5/12</f>
        <v>8055.281215613522</v>
      </c>
      <c r="F42" s="86">
        <f t="shared" si="3"/>
        <v>1761.15265425092</v>
      </c>
      <c r="G42" s="86">
        <f t="shared" si="4"/>
        <v>941296.1603931859</v>
      </c>
      <c r="H42" s="98">
        <f t="shared" si="5"/>
        <v>0.9412961603931859</v>
      </c>
      <c r="J42" s="88">
        <f t="shared" si="6"/>
        <v>853719.1392856372</v>
      </c>
      <c r="K42" s="88">
        <f>IF(N41=0,0,IF(N41&lt;BondCalculator!$B$12+BondCalculator!$B$7,N41+L42,BondCalculator!$B$12+BondCalculator!$B$7))</f>
        <v>11816.433869864442</v>
      </c>
      <c r="L42" s="88">
        <f>J42*BondCalculator!$B$5/12</f>
        <v>7292.184314731484</v>
      </c>
      <c r="M42" s="88">
        <f t="shared" si="7"/>
        <v>4524.249555132958</v>
      </c>
      <c r="N42" s="88">
        <f t="shared" si="0"/>
        <v>849194.8897305042</v>
      </c>
      <c r="P42" s="88">
        <f t="shared" si="1"/>
        <v>763.0969008820384</v>
      </c>
      <c r="Q42" s="89">
        <f>-PV(BondCalculator!$B$9/12,B42,0,1,0)</f>
        <v>0.8232345549829875</v>
      </c>
      <c r="S42" s="90">
        <f t="shared" si="2"/>
        <v>628.2077376065218</v>
      </c>
    </row>
    <row r="43" spans="1:19" ht="15" customHeight="1">
      <c r="A43" s="85" t="s">
        <v>101</v>
      </c>
      <c r="B43" s="96">
        <v>40</v>
      </c>
      <c r="C43" s="86">
        <f t="shared" si="8"/>
        <v>941296.1603931859</v>
      </c>
      <c r="D43" s="86">
        <f>IF(G42=0,0,IF(G42&lt;BondCalculator!$B$12,G42+E43,BondCalculator!$B$12))</f>
        <v>9816.433869864442</v>
      </c>
      <c r="E43" s="86">
        <f>C43*BondCalculator!$B$5/12</f>
        <v>8040.238036691796</v>
      </c>
      <c r="F43" s="86">
        <f t="shared" si="3"/>
        <v>1776.1958331726464</v>
      </c>
      <c r="G43" s="86">
        <f t="shared" si="4"/>
        <v>939519.9645600133</v>
      </c>
      <c r="H43" s="98">
        <f t="shared" si="5"/>
        <v>0.9395199645600133</v>
      </c>
      <c r="J43" s="88">
        <f t="shared" si="6"/>
        <v>849194.8897305042</v>
      </c>
      <c r="K43" s="88">
        <f>IF(N42=0,0,IF(N42&lt;BondCalculator!$B$12+BondCalculator!$B$7,N42+L43,BondCalculator!$B$12+BondCalculator!$B$7))</f>
        <v>11816.433869864442</v>
      </c>
      <c r="L43" s="88">
        <f>J43*BondCalculator!$B$5/12</f>
        <v>7253.539683114724</v>
      </c>
      <c r="M43" s="88">
        <f t="shared" si="7"/>
        <v>4562.894186749719</v>
      </c>
      <c r="N43" s="88">
        <f t="shared" si="0"/>
        <v>844631.9955437545</v>
      </c>
      <c r="P43" s="88">
        <f t="shared" si="1"/>
        <v>786.6983535770723</v>
      </c>
      <c r="Q43" s="89">
        <f>-PV(BondCalculator!$B$9/12,B43,0,1,0)</f>
        <v>0.8191388606795896</v>
      </c>
      <c r="S43" s="90">
        <f t="shared" si="2"/>
        <v>644.415193047632</v>
      </c>
    </row>
    <row r="44" spans="1:19" ht="15" customHeight="1">
      <c r="A44" s="85" t="s">
        <v>101</v>
      </c>
      <c r="B44" s="96">
        <v>41</v>
      </c>
      <c r="C44" s="86">
        <f t="shared" si="8"/>
        <v>939519.9645600133</v>
      </c>
      <c r="D44" s="86">
        <f>IF(G43=0,0,IF(G43&lt;BondCalculator!$B$12,G43+E44,BondCalculator!$B$12))</f>
        <v>9816.433869864442</v>
      </c>
      <c r="E44" s="86">
        <f>C44*BondCalculator!$B$5/12</f>
        <v>8025.066363950114</v>
      </c>
      <c r="F44" s="86">
        <f t="shared" si="3"/>
        <v>1791.3675059143288</v>
      </c>
      <c r="G44" s="86">
        <f t="shared" si="4"/>
        <v>937728.597054099</v>
      </c>
      <c r="H44" s="98">
        <f t="shared" si="5"/>
        <v>0.937728597054099</v>
      </c>
      <c r="J44" s="88">
        <f t="shared" si="6"/>
        <v>844631.9955437545</v>
      </c>
      <c r="K44" s="88">
        <f>IF(N43=0,0,IF(N43&lt;BondCalculator!$B$12+BondCalculator!$B$7,N43+L44,BondCalculator!$B$12+BondCalculator!$B$7))</f>
        <v>11816.433869864442</v>
      </c>
      <c r="L44" s="88">
        <f>J44*BondCalculator!$B$5/12</f>
        <v>7214.564961936237</v>
      </c>
      <c r="M44" s="88">
        <f t="shared" si="7"/>
        <v>4601.868907928206</v>
      </c>
      <c r="N44" s="88">
        <f t="shared" si="0"/>
        <v>840030.1266358263</v>
      </c>
      <c r="P44" s="88">
        <f t="shared" si="1"/>
        <v>810.5014020138769</v>
      </c>
      <c r="Q44" s="89">
        <f>-PV(BondCalculator!$B$9/12,B44,0,1,0)</f>
        <v>0.8150635429647659</v>
      </c>
      <c r="S44" s="90">
        <f t="shared" si="2"/>
        <v>660.6101443033406</v>
      </c>
    </row>
    <row r="45" spans="1:19" ht="15" customHeight="1">
      <c r="A45" s="85" t="s">
        <v>101</v>
      </c>
      <c r="B45" s="96">
        <v>42</v>
      </c>
      <c r="C45" s="86">
        <f t="shared" si="8"/>
        <v>937728.597054099</v>
      </c>
      <c r="D45" s="86">
        <f>IF(G44=0,0,IF(G44&lt;BondCalculator!$B$12,G44+E45,BondCalculator!$B$12))</f>
        <v>9816.433869864442</v>
      </c>
      <c r="E45" s="86">
        <f>C45*BondCalculator!$B$5/12</f>
        <v>8009.765099837095</v>
      </c>
      <c r="F45" s="86">
        <f t="shared" si="3"/>
        <v>1806.6687700273478</v>
      </c>
      <c r="G45" s="86">
        <f t="shared" si="4"/>
        <v>935921.9282840716</v>
      </c>
      <c r="H45" s="98">
        <f t="shared" si="5"/>
        <v>0.9359219282840716</v>
      </c>
      <c r="J45" s="88">
        <f t="shared" si="6"/>
        <v>840030.1266358263</v>
      </c>
      <c r="K45" s="88">
        <f>IF(N44=0,0,IF(N44&lt;BondCalculator!$B$12+BondCalculator!$B$7,N44+L45,BondCalculator!$B$12+BondCalculator!$B$7))</f>
        <v>11816.433869864442</v>
      </c>
      <c r="L45" s="88">
        <f>J45*BondCalculator!$B$5/12</f>
        <v>7175.257331681016</v>
      </c>
      <c r="M45" s="88">
        <f t="shared" si="7"/>
        <v>4641.176538183427</v>
      </c>
      <c r="N45" s="88">
        <f t="shared" si="0"/>
        <v>835388.9500976428</v>
      </c>
      <c r="P45" s="88">
        <f t="shared" si="1"/>
        <v>834.5077681560788</v>
      </c>
      <c r="Q45" s="89">
        <f>-PV(BondCalculator!$B$9/12,B45,0,1,0)</f>
        <v>0.8110085004624539</v>
      </c>
      <c r="S45" s="90">
        <f t="shared" si="2"/>
        <v>676.7928936765305</v>
      </c>
    </row>
    <row r="46" spans="1:19" ht="15" customHeight="1">
      <c r="A46" s="85" t="s">
        <v>101</v>
      </c>
      <c r="B46" s="96">
        <v>43</v>
      </c>
      <c r="C46" s="86">
        <f t="shared" si="8"/>
        <v>935921.9282840716</v>
      </c>
      <c r="D46" s="86">
        <f>IF(G45=0,0,IF(G45&lt;BondCalculator!$B$12,G45+E46,BondCalculator!$B$12))</f>
        <v>9816.433869864442</v>
      </c>
      <c r="E46" s="86">
        <f>C46*BondCalculator!$B$5/12</f>
        <v>7994.333137426444</v>
      </c>
      <c r="F46" s="86">
        <f t="shared" si="3"/>
        <v>1822.100732437998</v>
      </c>
      <c r="G46" s="86">
        <f t="shared" si="4"/>
        <v>934099.8275516336</v>
      </c>
      <c r="H46" s="98">
        <f t="shared" si="5"/>
        <v>0.9340998275516336</v>
      </c>
      <c r="J46" s="88">
        <f t="shared" si="6"/>
        <v>835388.9500976428</v>
      </c>
      <c r="K46" s="88">
        <f>IF(N45=0,0,IF(N45&lt;BondCalculator!$B$12+BondCalculator!$B$7,N45+L46,BondCalculator!$B$12+BondCalculator!$B$7))</f>
        <v>11816.433869864442</v>
      </c>
      <c r="L46" s="88">
        <f>J46*BondCalculator!$B$5/12</f>
        <v>7135.613948750699</v>
      </c>
      <c r="M46" s="88">
        <f t="shared" si="7"/>
        <v>4680.8199211137435</v>
      </c>
      <c r="N46" s="88">
        <f t="shared" si="0"/>
        <v>830708.130176529</v>
      </c>
      <c r="P46" s="88">
        <f t="shared" si="1"/>
        <v>858.7191886757455</v>
      </c>
      <c r="Q46" s="89">
        <f>-PV(BondCalculator!$B$9/12,B46,0,1,0)</f>
        <v>0.8069736323009491</v>
      </c>
      <c r="S46" s="90">
        <f t="shared" si="2"/>
        <v>692.9637428121904</v>
      </c>
    </row>
    <row r="47" spans="1:19" ht="15" customHeight="1">
      <c r="A47" s="85" t="s">
        <v>101</v>
      </c>
      <c r="B47" s="96">
        <v>44</v>
      </c>
      <c r="C47" s="86">
        <f t="shared" si="8"/>
        <v>934099.8275516336</v>
      </c>
      <c r="D47" s="86">
        <f>IF(G46=0,0,IF(G46&lt;BondCalculator!$B$12,G46+E47,BondCalculator!$B$12))</f>
        <v>9816.433869864442</v>
      </c>
      <c r="E47" s="86">
        <f>C47*BondCalculator!$B$5/12</f>
        <v>7978.769360336869</v>
      </c>
      <c r="F47" s="86">
        <f t="shared" si="3"/>
        <v>1837.6645095275735</v>
      </c>
      <c r="G47" s="86">
        <f t="shared" si="4"/>
        <v>932262.163042106</v>
      </c>
      <c r="H47" s="98">
        <f t="shared" si="5"/>
        <v>0.932262163042106</v>
      </c>
      <c r="J47" s="88">
        <f t="shared" si="6"/>
        <v>830708.130176529</v>
      </c>
      <c r="K47" s="88">
        <f>IF(N46=0,0,IF(N46&lt;BondCalculator!$B$12+BondCalculator!$B$7,N46+L47,BondCalculator!$B$12+BondCalculator!$B$7))</f>
        <v>11816.433869864442</v>
      </c>
      <c r="L47" s="88">
        <f>J47*BondCalculator!$B$5/12</f>
        <v>7095.631945257853</v>
      </c>
      <c r="M47" s="88">
        <f t="shared" si="7"/>
        <v>4720.80192460659</v>
      </c>
      <c r="N47" s="88">
        <f t="shared" si="0"/>
        <v>825987.3282519225</v>
      </c>
      <c r="P47" s="88">
        <f t="shared" si="1"/>
        <v>883.1374150790161</v>
      </c>
      <c r="Q47" s="89">
        <f>-PV(BondCalculator!$B$9/12,B47,0,1,0)</f>
        <v>0.8029588381103973</v>
      </c>
      <c r="S47" s="90">
        <f t="shared" si="2"/>
        <v>709.1229927036665</v>
      </c>
    </row>
    <row r="48" spans="1:19" ht="15" customHeight="1">
      <c r="A48" s="85" t="s">
        <v>101</v>
      </c>
      <c r="B48" s="96">
        <v>45</v>
      </c>
      <c r="C48" s="86">
        <f t="shared" si="8"/>
        <v>932262.163042106</v>
      </c>
      <c r="D48" s="86">
        <f>IF(G47=0,0,IF(G47&lt;BondCalculator!$B$12,G47+E48,BondCalculator!$B$12))</f>
        <v>9816.433869864442</v>
      </c>
      <c r="E48" s="86">
        <f>C48*BondCalculator!$B$5/12</f>
        <v>7963.072642651321</v>
      </c>
      <c r="F48" s="86">
        <f t="shared" si="3"/>
        <v>1853.3612272131213</v>
      </c>
      <c r="G48" s="86">
        <f t="shared" si="4"/>
        <v>930408.8018148928</v>
      </c>
      <c r="H48" s="98">
        <f t="shared" si="5"/>
        <v>0.9304088018148928</v>
      </c>
      <c r="J48" s="88">
        <f t="shared" si="6"/>
        <v>825987.3282519225</v>
      </c>
      <c r="K48" s="88">
        <f>IF(N47=0,0,IF(N47&lt;BondCalculator!$B$12+BondCalculator!$B$7,N47+L48,BondCalculator!$B$12+BondCalculator!$B$7))</f>
        <v>11816.433869864442</v>
      </c>
      <c r="L48" s="88">
        <f>J48*BondCalculator!$B$5/12</f>
        <v>7055.308428818505</v>
      </c>
      <c r="M48" s="88">
        <f t="shared" si="7"/>
        <v>4761.125441045938</v>
      </c>
      <c r="N48" s="88">
        <f t="shared" si="0"/>
        <v>821226.2028108765</v>
      </c>
      <c r="P48" s="88">
        <f t="shared" si="1"/>
        <v>907.7642138328165</v>
      </c>
      <c r="Q48" s="89">
        <f>-PV(BondCalculator!$B$9/12,B48,0,1,0)</f>
        <v>0.798964018020296</v>
      </c>
      <c r="S48" s="90">
        <f t="shared" si="2"/>
        <v>725.2709436989022</v>
      </c>
    </row>
    <row r="49" spans="1:19" ht="15" customHeight="1">
      <c r="A49" s="85" t="s">
        <v>101</v>
      </c>
      <c r="B49" s="96">
        <v>46</v>
      </c>
      <c r="C49" s="86">
        <f t="shared" si="8"/>
        <v>930408.8018148928</v>
      </c>
      <c r="D49" s="86">
        <f>IF(G48=0,0,IF(G48&lt;BondCalculator!$B$12,G48+E49,BondCalculator!$B$12))</f>
        <v>9816.433869864442</v>
      </c>
      <c r="E49" s="86">
        <f>C49*BondCalculator!$B$5/12</f>
        <v>7947.241848835542</v>
      </c>
      <c r="F49" s="86">
        <f t="shared" si="3"/>
        <v>1869.1920210289</v>
      </c>
      <c r="G49" s="86">
        <f t="shared" si="4"/>
        <v>928539.6097938638</v>
      </c>
      <c r="H49" s="98">
        <f t="shared" si="5"/>
        <v>0.9285396097938639</v>
      </c>
      <c r="J49" s="88">
        <f t="shared" si="6"/>
        <v>821226.2028108765</v>
      </c>
      <c r="K49" s="88">
        <f>IF(N48=0,0,IF(N48&lt;BondCalculator!$B$12+BondCalculator!$B$7,N48+L49,BondCalculator!$B$12+BondCalculator!$B$7))</f>
        <v>11816.433869864442</v>
      </c>
      <c r="L49" s="88">
        <f>J49*BondCalculator!$B$5/12</f>
        <v>7014.640482342904</v>
      </c>
      <c r="M49" s="88">
        <f t="shared" si="7"/>
        <v>4801.7933875215385</v>
      </c>
      <c r="N49" s="88">
        <f t="shared" si="0"/>
        <v>816424.409423355</v>
      </c>
      <c r="P49" s="88">
        <f t="shared" si="1"/>
        <v>932.6013664926386</v>
      </c>
      <c r="Q49" s="89">
        <f>-PV(BondCalculator!$B$9/12,B49,0,1,0)</f>
        <v>0.794989072657011</v>
      </c>
      <c r="S49" s="90">
        <f t="shared" si="2"/>
        <v>741.407895506644</v>
      </c>
    </row>
    <row r="50" spans="1:19" ht="15" customHeight="1">
      <c r="A50" s="85" t="s">
        <v>101</v>
      </c>
      <c r="B50" s="96">
        <v>47</v>
      </c>
      <c r="C50" s="86">
        <f t="shared" si="8"/>
        <v>928539.6097938638</v>
      </c>
      <c r="D50" s="86">
        <f>IF(G49=0,0,IF(G49&lt;BondCalculator!$B$12,G49+E50,BondCalculator!$B$12))</f>
        <v>9816.433869864442</v>
      </c>
      <c r="E50" s="86">
        <f>C50*BondCalculator!$B$5/12</f>
        <v>7931.27583365592</v>
      </c>
      <c r="F50" s="86">
        <f t="shared" si="3"/>
        <v>1885.1580362085224</v>
      </c>
      <c r="G50" s="86">
        <f t="shared" si="4"/>
        <v>926654.4517576554</v>
      </c>
      <c r="H50" s="98">
        <f t="shared" si="5"/>
        <v>0.9266544517576554</v>
      </c>
      <c r="J50" s="88">
        <f t="shared" si="6"/>
        <v>816424.409423355</v>
      </c>
      <c r="K50" s="88">
        <f>IF(N49=0,0,IF(N49&lt;BondCalculator!$B$12+BondCalculator!$B$7,N49+L50,BondCalculator!$B$12+BondCalculator!$B$7))</f>
        <v>11816.433869864442</v>
      </c>
      <c r="L50" s="88">
        <f>J50*BondCalculator!$B$5/12</f>
        <v>6973.62516382449</v>
      </c>
      <c r="M50" s="88">
        <f t="shared" si="7"/>
        <v>4842.808706039952</v>
      </c>
      <c r="N50" s="88">
        <f t="shared" si="0"/>
        <v>811581.6007173151</v>
      </c>
      <c r="P50" s="88">
        <f t="shared" si="1"/>
        <v>957.6506698314297</v>
      </c>
      <c r="Q50" s="89">
        <f>-PV(BondCalculator!$B$9/12,B50,0,1,0)</f>
        <v>0.7910339031413047</v>
      </c>
      <c r="S50" s="90">
        <f t="shared" si="2"/>
        <v>757.5341472026407</v>
      </c>
    </row>
    <row r="51" spans="1:19" ht="15" customHeight="1">
      <c r="A51" s="85" t="s">
        <v>101</v>
      </c>
      <c r="B51" s="96">
        <v>48</v>
      </c>
      <c r="C51" s="86">
        <f t="shared" si="8"/>
        <v>926654.4517576554</v>
      </c>
      <c r="D51" s="86">
        <f>IF(G50=0,0,IF(G50&lt;BondCalculator!$B$12,G50+E51,BondCalculator!$B$12))</f>
        <v>9816.433869864442</v>
      </c>
      <c r="E51" s="86">
        <f>C51*BondCalculator!$B$5/12</f>
        <v>7915.173442096639</v>
      </c>
      <c r="F51" s="86">
        <f t="shared" si="3"/>
        <v>1901.2604277678038</v>
      </c>
      <c r="G51" s="86">
        <f t="shared" si="4"/>
        <v>924753.1913298876</v>
      </c>
      <c r="H51" s="98">
        <f t="shared" si="5"/>
        <v>0.9247531913298876</v>
      </c>
      <c r="J51" s="88">
        <f t="shared" si="6"/>
        <v>811581.6007173151</v>
      </c>
      <c r="K51" s="88">
        <f>IF(N50=0,0,IF(N50&lt;BondCalculator!$B$12+BondCalculator!$B$7,N50+L51,BondCalculator!$B$12+BondCalculator!$B$7))</f>
        <v>11816.433869864442</v>
      </c>
      <c r="L51" s="88">
        <f>J51*BondCalculator!$B$5/12</f>
        <v>6932.259506127066</v>
      </c>
      <c r="M51" s="88">
        <f t="shared" si="7"/>
        <v>4884.174363737377</v>
      </c>
      <c r="N51" s="88">
        <f t="shared" si="0"/>
        <v>806697.4263535778</v>
      </c>
      <c r="P51" s="88">
        <f t="shared" si="1"/>
        <v>982.9139359695728</v>
      </c>
      <c r="Q51" s="89">
        <f>-PV(BondCalculator!$B$9/12,B51,0,1,0)</f>
        <v>0.7870984110858754</v>
      </c>
      <c r="S51" s="90">
        <f t="shared" si="2"/>
        <v>773.6499972358146</v>
      </c>
    </row>
    <row r="52" spans="1:19" ht="15" customHeight="1">
      <c r="A52" s="85" t="s">
        <v>102</v>
      </c>
      <c r="B52" s="96">
        <v>49</v>
      </c>
      <c r="C52" s="86">
        <f t="shared" si="8"/>
        <v>924753.1913298876</v>
      </c>
      <c r="D52" s="86">
        <f>IF(G51=0,0,IF(G51&lt;BondCalculator!$B$12,G51+E52,BondCalculator!$B$12))</f>
        <v>9816.433869864442</v>
      </c>
      <c r="E52" s="86">
        <f>C52*BondCalculator!$B$5/12</f>
        <v>7898.933509276122</v>
      </c>
      <c r="F52" s="86">
        <f t="shared" si="3"/>
        <v>1917.5003605883203</v>
      </c>
      <c r="G52" s="86">
        <f t="shared" si="4"/>
        <v>922835.6909692993</v>
      </c>
      <c r="H52" s="98">
        <f t="shared" si="5"/>
        <v>0.9228356909692993</v>
      </c>
      <c r="J52" s="88">
        <f t="shared" si="6"/>
        <v>806697.4263535778</v>
      </c>
      <c r="K52" s="88">
        <f>IF(N51=0,0,IF(N51&lt;BondCalculator!$B$12+BondCalculator!$B$7,N51+L52,BondCalculator!$B$12+BondCalculator!$B$7))</f>
        <v>11816.433869864442</v>
      </c>
      <c r="L52" s="88">
        <f>J52*BondCalculator!$B$5/12</f>
        <v>6890.540516770143</v>
      </c>
      <c r="M52" s="88">
        <f t="shared" si="7"/>
        <v>4925.8933530942995</v>
      </c>
      <c r="N52" s="88">
        <f t="shared" si="0"/>
        <v>801771.5330004834</v>
      </c>
      <c r="P52" s="88">
        <f t="shared" si="1"/>
        <v>1008.3929925059792</v>
      </c>
      <c r="Q52" s="89">
        <f>-PV(BondCalculator!$B$9/12,B52,0,1,0)</f>
        <v>0.7831824985929109</v>
      </c>
      <c r="S52" s="90">
        <f t="shared" si="2"/>
        <v>789.7557434344153</v>
      </c>
    </row>
    <row r="53" spans="1:19" ht="15" customHeight="1">
      <c r="A53" s="85" t="s">
        <v>102</v>
      </c>
      <c r="B53" s="96">
        <v>50</v>
      </c>
      <c r="C53" s="86">
        <f t="shared" si="8"/>
        <v>922835.6909692993</v>
      </c>
      <c r="D53" s="86">
        <f>IF(G52=0,0,IF(G52&lt;BondCalculator!$B$12,G52+E53,BondCalculator!$B$12))</f>
        <v>9816.433869864442</v>
      </c>
      <c r="E53" s="86">
        <f>C53*BondCalculator!$B$5/12</f>
        <v>7882.554860362765</v>
      </c>
      <c r="F53" s="86">
        <f t="shared" si="3"/>
        <v>1933.8790095016775</v>
      </c>
      <c r="G53" s="86">
        <f t="shared" si="4"/>
        <v>920901.8119597976</v>
      </c>
      <c r="H53" s="98">
        <f t="shared" si="5"/>
        <v>0.9209018119597976</v>
      </c>
      <c r="J53" s="88">
        <f t="shared" si="6"/>
        <v>801771.5330004834</v>
      </c>
      <c r="K53" s="88">
        <f>IF(N52=0,0,IF(N52&lt;BondCalculator!$B$12+BondCalculator!$B$7,N52+L53,BondCalculator!$B$12+BondCalculator!$B$7))</f>
        <v>11816.433869864442</v>
      </c>
      <c r="L53" s="88">
        <f>J53*BondCalculator!$B$5/12</f>
        <v>6848.465177712463</v>
      </c>
      <c r="M53" s="88">
        <f t="shared" si="7"/>
        <v>4967.96869215198</v>
      </c>
      <c r="N53" s="88">
        <f t="shared" si="0"/>
        <v>796803.5643083315</v>
      </c>
      <c r="P53" s="88">
        <f t="shared" si="1"/>
        <v>1034.0896826503022</v>
      </c>
      <c r="Q53" s="89">
        <f>-PV(BondCalculator!$B$9/12,B53,0,1,0)</f>
        <v>0.7792860682516529</v>
      </c>
      <c r="S53" s="90">
        <f t="shared" si="2"/>
        <v>805.8516830121534</v>
      </c>
    </row>
    <row r="54" spans="1:19" ht="15" customHeight="1">
      <c r="A54" s="85" t="s">
        <v>102</v>
      </c>
      <c r="B54" s="96">
        <v>51</v>
      </c>
      <c r="C54" s="86">
        <f t="shared" si="8"/>
        <v>920901.8119597976</v>
      </c>
      <c r="D54" s="86">
        <f>IF(G53=0,0,IF(G53&lt;BondCalculator!$B$12,G53+E54,BondCalculator!$B$12))</f>
        <v>9816.433869864442</v>
      </c>
      <c r="E54" s="86">
        <f>C54*BondCalculator!$B$5/12</f>
        <v>7866.036310489938</v>
      </c>
      <c r="F54" s="86">
        <f t="shared" si="3"/>
        <v>1950.3975593745045</v>
      </c>
      <c r="G54" s="86">
        <f t="shared" si="4"/>
        <v>918951.4144004232</v>
      </c>
      <c r="H54" s="98">
        <f t="shared" si="5"/>
        <v>0.9189514144004232</v>
      </c>
      <c r="J54" s="88">
        <f t="shared" si="6"/>
        <v>796803.5643083315</v>
      </c>
      <c r="K54" s="88">
        <f>IF(N53=0,0,IF(N53&lt;BondCalculator!$B$12+BondCalculator!$B$7,N53+L54,BondCalculator!$B$12+BondCalculator!$B$7))</f>
        <v>11816.433869864442</v>
      </c>
      <c r="L54" s="88">
        <f>J54*BondCalculator!$B$5/12</f>
        <v>6806.030445133664</v>
      </c>
      <c r="M54" s="88">
        <f t="shared" si="7"/>
        <v>5010.403424730778</v>
      </c>
      <c r="N54" s="88">
        <f t="shared" si="0"/>
        <v>791793.1608836007</v>
      </c>
      <c r="P54" s="88">
        <f t="shared" si="1"/>
        <v>1060.0058653562737</v>
      </c>
      <c r="Q54" s="89">
        <f>-PV(BondCalculator!$B$9/12,B54,0,1,0)</f>
        <v>0.7754090231359732</v>
      </c>
      <c r="S54" s="90">
        <f t="shared" si="2"/>
        <v>821.9381125743101</v>
      </c>
    </row>
    <row r="55" spans="1:19" ht="15" customHeight="1">
      <c r="A55" s="85" t="s">
        <v>102</v>
      </c>
      <c r="B55" s="96">
        <v>52</v>
      </c>
      <c r="C55" s="86">
        <f t="shared" si="8"/>
        <v>918951.4144004232</v>
      </c>
      <c r="D55" s="86">
        <f>IF(G54=0,0,IF(G54&lt;BondCalculator!$B$12,G54+E55,BondCalculator!$B$12))</f>
        <v>9816.433869864442</v>
      </c>
      <c r="E55" s="86">
        <f>C55*BondCalculator!$B$5/12</f>
        <v>7849.376664670282</v>
      </c>
      <c r="F55" s="86">
        <f t="shared" si="3"/>
        <v>1967.0572051941608</v>
      </c>
      <c r="G55" s="86">
        <f t="shared" si="4"/>
        <v>916984.357195229</v>
      </c>
      <c r="H55" s="98">
        <f t="shared" si="5"/>
        <v>0.9169843571952291</v>
      </c>
      <c r="J55" s="88">
        <f t="shared" si="6"/>
        <v>791793.1608836007</v>
      </c>
      <c r="K55" s="88">
        <f>IF(N54=0,0,IF(N54&lt;BondCalculator!$B$12+BondCalculator!$B$7,N54+L55,BondCalculator!$B$12+BondCalculator!$B$7))</f>
        <v>11816.433869864442</v>
      </c>
      <c r="L55" s="88">
        <f>J55*BondCalculator!$B$5/12</f>
        <v>6763.233249214089</v>
      </c>
      <c r="M55" s="88">
        <f t="shared" si="7"/>
        <v>5053.200620650354</v>
      </c>
      <c r="N55" s="88">
        <f t="shared" si="0"/>
        <v>786739.9602629504</v>
      </c>
      <c r="P55" s="88">
        <f t="shared" si="1"/>
        <v>1086.143415456193</v>
      </c>
      <c r="Q55" s="89">
        <f>-PV(BondCalculator!$B$9/12,B55,0,1,0)</f>
        <v>0.7715512668019634</v>
      </c>
      <c r="S55" s="90">
        <f t="shared" si="2"/>
        <v>838.015328123837</v>
      </c>
    </row>
    <row r="56" spans="1:19" ht="15" customHeight="1">
      <c r="A56" s="85" t="s">
        <v>102</v>
      </c>
      <c r="B56" s="96">
        <v>53</v>
      </c>
      <c r="C56" s="86">
        <f t="shared" si="8"/>
        <v>916984.357195229</v>
      </c>
      <c r="D56" s="86">
        <f>IF(G55=0,0,IF(G55&lt;BondCalculator!$B$12,G55+E56,BondCalculator!$B$12))</f>
        <v>9816.433869864442</v>
      </c>
      <c r="E56" s="86">
        <f>C56*BondCalculator!$B$5/12</f>
        <v>7832.574717709248</v>
      </c>
      <c r="F56" s="86">
        <f t="shared" si="3"/>
        <v>1983.8591521551944</v>
      </c>
      <c r="G56" s="86">
        <f t="shared" si="4"/>
        <v>915000.4980430738</v>
      </c>
      <c r="H56" s="98">
        <f t="shared" si="5"/>
        <v>0.9150004980430738</v>
      </c>
      <c r="J56" s="88">
        <f t="shared" si="6"/>
        <v>786739.9602629504</v>
      </c>
      <c r="K56" s="88">
        <f>IF(N55=0,0,IF(N55&lt;BondCalculator!$B$12+BondCalculator!$B$7,N55+L56,BondCalculator!$B$12+BondCalculator!$B$7))</f>
        <v>11816.433869864442</v>
      </c>
      <c r="L56" s="88">
        <f>J56*BondCalculator!$B$5/12</f>
        <v>6720.070493912702</v>
      </c>
      <c r="M56" s="88">
        <f t="shared" si="7"/>
        <v>5096.363375951741</v>
      </c>
      <c r="N56" s="88">
        <f t="shared" si="0"/>
        <v>781643.5968869986</v>
      </c>
      <c r="P56" s="88">
        <f t="shared" si="1"/>
        <v>1112.5042237965463</v>
      </c>
      <c r="Q56" s="89">
        <f>-PV(BondCalculator!$B$9/12,B56,0,1,0)</f>
        <v>0.7677127032855359</v>
      </c>
      <c r="S56" s="90">
        <f t="shared" si="2"/>
        <v>854.0836250674233</v>
      </c>
    </row>
    <row r="57" spans="1:19" ht="15" customHeight="1">
      <c r="A57" s="85" t="s">
        <v>102</v>
      </c>
      <c r="B57" s="96">
        <v>54</v>
      </c>
      <c r="C57" s="86">
        <f t="shared" si="8"/>
        <v>915000.4980430738</v>
      </c>
      <c r="D57" s="86">
        <f>IF(G56=0,0,IF(G56&lt;BondCalculator!$B$12,G56+E57,BondCalculator!$B$12))</f>
        <v>9816.433869864442</v>
      </c>
      <c r="E57" s="86">
        <f>C57*BondCalculator!$B$5/12</f>
        <v>7815.629254117922</v>
      </c>
      <c r="F57" s="86">
        <f t="shared" si="3"/>
        <v>2000.8046157465205</v>
      </c>
      <c r="G57" s="86">
        <f t="shared" si="4"/>
        <v>912999.6934273273</v>
      </c>
      <c r="H57" s="98">
        <f t="shared" si="5"/>
        <v>0.9129996934273273</v>
      </c>
      <c r="J57" s="88">
        <f t="shared" si="6"/>
        <v>781643.5968869986</v>
      </c>
      <c r="K57" s="88">
        <f>IF(N56=0,0,IF(N56&lt;BondCalculator!$B$12+BondCalculator!$B$7,N56+L57,BondCalculator!$B$12+BondCalculator!$B$7))</f>
        <v>11816.433869864442</v>
      </c>
      <c r="L57" s="88">
        <f>J57*BondCalculator!$B$5/12</f>
        <v>6676.539056743113</v>
      </c>
      <c r="M57" s="88">
        <f t="shared" si="7"/>
        <v>5139.894813121329</v>
      </c>
      <c r="N57" s="88">
        <f t="shared" si="0"/>
        <v>776503.7020738773</v>
      </c>
      <c r="P57" s="88">
        <f t="shared" si="1"/>
        <v>1139.0901973748087</v>
      </c>
      <c r="Q57" s="89">
        <f>-PV(BondCalculator!$B$9/12,B57,0,1,0)</f>
        <v>0.7638932371000359</v>
      </c>
      <c r="S57" s="90">
        <f t="shared" si="2"/>
        <v>870.1432982215614</v>
      </c>
    </row>
    <row r="58" spans="1:19" ht="15" customHeight="1">
      <c r="A58" s="85" t="s">
        <v>102</v>
      </c>
      <c r="B58" s="96">
        <v>55</v>
      </c>
      <c r="C58" s="86">
        <f t="shared" si="8"/>
        <v>912999.6934273273</v>
      </c>
      <c r="D58" s="86">
        <f>IF(G57=0,0,IF(G57&lt;BondCalculator!$B$12,G57+E58,BondCalculator!$B$12))</f>
        <v>9816.433869864442</v>
      </c>
      <c r="E58" s="86">
        <f>C58*BondCalculator!$B$5/12</f>
        <v>7798.539048025087</v>
      </c>
      <c r="F58" s="86">
        <f t="shared" si="3"/>
        <v>2017.8948218393552</v>
      </c>
      <c r="G58" s="86">
        <f t="shared" si="4"/>
        <v>910981.7986054879</v>
      </c>
      <c r="H58" s="98">
        <f t="shared" si="5"/>
        <v>0.9109817986054879</v>
      </c>
      <c r="J58" s="88">
        <f t="shared" si="6"/>
        <v>776503.7020738773</v>
      </c>
      <c r="K58" s="88">
        <f>IF(N57=0,0,IF(N57&lt;BondCalculator!$B$12+BondCalculator!$B$7,N57+L58,BondCalculator!$B$12+BondCalculator!$B$7))</f>
        <v>11816.433869864442</v>
      </c>
      <c r="L58" s="88">
        <f>J58*BondCalculator!$B$5/12</f>
        <v>6632.635788547702</v>
      </c>
      <c r="M58" s="88">
        <f t="shared" si="7"/>
        <v>5183.7980813167405</v>
      </c>
      <c r="N58" s="88">
        <f t="shared" si="0"/>
        <v>771319.9039925606</v>
      </c>
      <c r="P58" s="88">
        <f t="shared" si="1"/>
        <v>1165.9032594773853</v>
      </c>
      <c r="Q58" s="89">
        <f>-PV(BondCalculator!$B$9/12,B58,0,1,0)</f>
        <v>0.7600927732338666</v>
      </c>
      <c r="S58" s="90">
        <f t="shared" si="2"/>
        <v>886.1946418185702</v>
      </c>
    </row>
    <row r="59" spans="1:19" ht="15" customHeight="1">
      <c r="A59" s="85" t="s">
        <v>102</v>
      </c>
      <c r="B59" s="96">
        <v>56</v>
      </c>
      <c r="C59" s="86">
        <f t="shared" si="8"/>
        <v>910981.7986054879</v>
      </c>
      <c r="D59" s="86">
        <f>IF(G58=0,0,IF(G58&lt;BondCalculator!$B$12,G58+E59,BondCalculator!$B$12))</f>
        <v>9816.433869864442</v>
      </c>
      <c r="E59" s="86">
        <f>C59*BondCalculator!$B$5/12</f>
        <v>7781.302863088542</v>
      </c>
      <c r="F59" s="86">
        <f t="shared" si="3"/>
        <v>2035.1310067759005</v>
      </c>
      <c r="G59" s="86">
        <f t="shared" si="4"/>
        <v>908946.667598712</v>
      </c>
      <c r="H59" s="98">
        <f t="shared" si="5"/>
        <v>0.908946667598712</v>
      </c>
      <c r="J59" s="88">
        <f t="shared" si="6"/>
        <v>771319.9039925606</v>
      </c>
      <c r="K59" s="88">
        <f>IF(N58=0,0,IF(N58&lt;BondCalculator!$B$12+BondCalculator!$B$7,N58+L59,BondCalculator!$B$12+BondCalculator!$B$7))</f>
        <v>11816.433869864442</v>
      </c>
      <c r="L59" s="88">
        <f>J59*BondCalculator!$B$5/12</f>
        <v>6588.357513269788</v>
      </c>
      <c r="M59" s="88">
        <f t="shared" si="7"/>
        <v>5228.0763565946545</v>
      </c>
      <c r="N59" s="88">
        <f t="shared" si="0"/>
        <v>766091.8276359659</v>
      </c>
      <c r="P59" s="88">
        <f t="shared" si="1"/>
        <v>1192.945349818754</v>
      </c>
      <c r="Q59" s="89">
        <f>-PV(BondCalculator!$B$9/12,B59,0,1,0)</f>
        <v>0.7563112171481259</v>
      </c>
      <c r="S59" s="90">
        <f t="shared" si="2"/>
        <v>902.2379495126187</v>
      </c>
    </row>
    <row r="60" spans="1:19" ht="15" customHeight="1">
      <c r="A60" s="85" t="s">
        <v>102</v>
      </c>
      <c r="B60" s="96">
        <v>57</v>
      </c>
      <c r="C60" s="86">
        <f t="shared" si="8"/>
        <v>908946.667598712</v>
      </c>
      <c r="D60" s="86">
        <f>IF(G59=0,0,IF(G59&lt;BondCalculator!$B$12,G59+E60,BondCalculator!$B$12))</f>
        <v>9816.433869864442</v>
      </c>
      <c r="E60" s="86">
        <f>C60*BondCalculator!$B$5/12</f>
        <v>7763.919452405665</v>
      </c>
      <c r="F60" s="86">
        <f t="shared" si="3"/>
        <v>2052.5144174587776</v>
      </c>
      <c r="G60" s="86">
        <f t="shared" si="4"/>
        <v>906894.1531812532</v>
      </c>
      <c r="H60" s="98">
        <f t="shared" si="5"/>
        <v>0.9068941531812532</v>
      </c>
      <c r="J60" s="88">
        <f t="shared" si="6"/>
        <v>766091.8276359659</v>
      </c>
      <c r="K60" s="88">
        <f>IF(N59=0,0,IF(N59&lt;BondCalculator!$B$12+BondCalculator!$B$7,N59+L60,BondCalculator!$B$12+BondCalculator!$B$7))</f>
        <v>11816.433869864442</v>
      </c>
      <c r="L60" s="88">
        <f>J60*BondCalculator!$B$5/12</f>
        <v>6543.701027723874</v>
      </c>
      <c r="M60" s="88">
        <f t="shared" si="7"/>
        <v>5272.732842140568</v>
      </c>
      <c r="N60" s="88">
        <f t="shared" si="0"/>
        <v>760819.0947938253</v>
      </c>
      <c r="P60" s="88">
        <f t="shared" si="1"/>
        <v>1220.2184246817906</v>
      </c>
      <c r="Q60" s="89">
        <f>-PV(BondCalculator!$B$9/12,B60,0,1,0)</f>
        <v>0.7525484747742548</v>
      </c>
      <c r="S60" s="90">
        <f t="shared" si="2"/>
        <v>918.2735143857254</v>
      </c>
    </row>
    <row r="61" spans="1:19" ht="15" customHeight="1">
      <c r="A61" s="85" t="s">
        <v>102</v>
      </c>
      <c r="B61" s="96">
        <v>58</v>
      </c>
      <c r="C61" s="86">
        <f t="shared" si="8"/>
        <v>906894.1531812532</v>
      </c>
      <c r="D61" s="86">
        <f>IF(G60=0,0,IF(G60&lt;BondCalculator!$B$12,G60+E61,BondCalculator!$B$12))</f>
        <v>9816.433869864442</v>
      </c>
      <c r="E61" s="86">
        <f>C61*BondCalculator!$B$5/12</f>
        <v>7746.387558423205</v>
      </c>
      <c r="F61" s="86">
        <f t="shared" si="3"/>
        <v>2070.046311441238</v>
      </c>
      <c r="G61" s="86">
        <f t="shared" si="4"/>
        <v>904824.106869812</v>
      </c>
      <c r="H61" s="98">
        <f t="shared" si="5"/>
        <v>0.904824106869812</v>
      </c>
      <c r="J61" s="88">
        <f t="shared" si="6"/>
        <v>760819.0947938253</v>
      </c>
      <c r="K61" s="88">
        <f>IF(N60=0,0,IF(N60&lt;BondCalculator!$B$12+BondCalculator!$B$7,N60+L61,BondCalculator!$B$12+BondCalculator!$B$7))</f>
        <v>11816.433869864442</v>
      </c>
      <c r="L61" s="88">
        <f>J61*BondCalculator!$B$5/12</f>
        <v>6498.6631013639235</v>
      </c>
      <c r="M61" s="88">
        <f t="shared" si="7"/>
        <v>5317.770768500519</v>
      </c>
      <c r="N61" s="88">
        <f t="shared" si="0"/>
        <v>755501.3240253248</v>
      </c>
      <c r="P61" s="88">
        <f t="shared" si="1"/>
        <v>1247.7244570592811</v>
      </c>
      <c r="Q61" s="89">
        <f>-PV(BondCalculator!$B$9/12,B61,0,1,0)</f>
        <v>0.7488044525116965</v>
      </c>
      <c r="S61" s="90">
        <f t="shared" si="2"/>
        <v>934.3016289537287</v>
      </c>
    </row>
    <row r="62" spans="1:19" ht="15" customHeight="1">
      <c r="A62" s="85" t="s">
        <v>102</v>
      </c>
      <c r="B62" s="96">
        <v>59</v>
      </c>
      <c r="C62" s="86">
        <f t="shared" si="8"/>
        <v>904824.106869812</v>
      </c>
      <c r="D62" s="86">
        <f>IF(G61=0,0,IF(G61&lt;BondCalculator!$B$12,G61+E62,BondCalculator!$B$12))</f>
        <v>9816.433869864442</v>
      </c>
      <c r="E62" s="86">
        <f>C62*BondCalculator!$B$5/12</f>
        <v>7728.705912846311</v>
      </c>
      <c r="F62" s="86">
        <f t="shared" si="3"/>
        <v>2087.7279570181317</v>
      </c>
      <c r="G62" s="86">
        <f t="shared" si="4"/>
        <v>902736.3789127938</v>
      </c>
      <c r="H62" s="98">
        <f t="shared" si="5"/>
        <v>0.9027363789127938</v>
      </c>
      <c r="J62" s="88">
        <f t="shared" si="6"/>
        <v>755501.3240253248</v>
      </c>
      <c r="K62" s="88">
        <f>IF(N61=0,0,IF(N61&lt;BondCalculator!$B$12+BondCalculator!$B$7,N61+L62,BondCalculator!$B$12+BondCalculator!$B$7))</f>
        <v>11816.433869864442</v>
      </c>
      <c r="L62" s="88">
        <f>J62*BondCalculator!$B$5/12</f>
        <v>6453.240476049649</v>
      </c>
      <c r="M62" s="88">
        <f t="shared" si="7"/>
        <v>5363.193393814793</v>
      </c>
      <c r="N62" s="88">
        <f t="shared" si="0"/>
        <v>750138.1306315099</v>
      </c>
      <c r="P62" s="88">
        <f t="shared" si="1"/>
        <v>1275.4654367966614</v>
      </c>
      <c r="Q62" s="89">
        <f>-PV(BondCalculator!$B$9/12,B62,0,1,0)</f>
        <v>0.7450790572255688</v>
      </c>
      <c r="S62" s="90">
        <f t="shared" si="2"/>
        <v>950.3225851722548</v>
      </c>
    </row>
    <row r="63" spans="1:19" ht="15" customHeight="1">
      <c r="A63" s="85" t="s">
        <v>102</v>
      </c>
      <c r="B63" s="96">
        <v>60</v>
      </c>
      <c r="C63" s="86">
        <f t="shared" si="8"/>
        <v>902736.3789127938</v>
      </c>
      <c r="D63" s="86">
        <f>IF(G62=0,0,IF(G62&lt;BondCalculator!$B$12,G62+E63,BondCalculator!$B$12))</f>
        <v>9816.433869864442</v>
      </c>
      <c r="E63" s="86">
        <f>C63*BondCalculator!$B$5/12</f>
        <v>7710.87323654678</v>
      </c>
      <c r="F63" s="86">
        <f t="shared" si="3"/>
        <v>2105.560633317662</v>
      </c>
      <c r="G63" s="86">
        <f t="shared" si="4"/>
        <v>900630.8182794761</v>
      </c>
      <c r="H63" s="98">
        <f t="shared" si="5"/>
        <v>0.9006308182794761</v>
      </c>
      <c r="J63" s="88">
        <f t="shared" si="6"/>
        <v>750138.1306315099</v>
      </c>
      <c r="K63" s="88">
        <f>IF(N62=0,0,IF(N62&lt;BondCalculator!$B$12+BondCalculator!$B$7,N62+L63,BondCalculator!$B$12+BondCalculator!$B$7))</f>
        <v>11816.433869864442</v>
      </c>
      <c r="L63" s="88">
        <f>J63*BondCalculator!$B$5/12</f>
        <v>6407.429865810814</v>
      </c>
      <c r="M63" s="88">
        <f t="shared" si="7"/>
        <v>5409.004004053629</v>
      </c>
      <c r="N63" s="88">
        <f t="shared" si="0"/>
        <v>744729.1266274563</v>
      </c>
      <c r="P63" s="88">
        <f t="shared" si="1"/>
        <v>1303.4433707359667</v>
      </c>
      <c r="Q63" s="89">
        <f>-PV(BondCalculator!$B$9/12,B63,0,1,0)</f>
        <v>0.7413721962443471</v>
      </c>
      <c r="S63" s="90">
        <f t="shared" si="2"/>
        <v>966.3366744426585</v>
      </c>
    </row>
    <row r="64" spans="1:19" ht="15" customHeight="1">
      <c r="A64" s="85" t="s">
        <v>103</v>
      </c>
      <c r="B64" s="96">
        <v>61</v>
      </c>
      <c r="C64" s="86">
        <f t="shared" si="8"/>
        <v>900630.8182794761</v>
      </c>
      <c r="D64" s="86">
        <f>IF(G63=0,0,IF(G63&lt;BondCalculator!$B$12,G63+E64,BondCalculator!$B$12))</f>
        <v>9816.433869864442</v>
      </c>
      <c r="E64" s="86">
        <f>C64*BondCalculator!$B$5/12</f>
        <v>7692.888239470525</v>
      </c>
      <c r="F64" s="86">
        <f t="shared" si="3"/>
        <v>2123.5456303939172</v>
      </c>
      <c r="G64" s="86">
        <f t="shared" si="4"/>
        <v>898507.2726490822</v>
      </c>
      <c r="H64" s="98">
        <f t="shared" si="5"/>
        <v>0.8985072726490823</v>
      </c>
      <c r="J64" s="88">
        <f t="shared" si="6"/>
        <v>744729.1266274563</v>
      </c>
      <c r="K64" s="88">
        <f>IF(N63=0,0,IF(N63&lt;BondCalculator!$B$12+BondCalculator!$B$7,N63+L64,BondCalculator!$B$12+BondCalculator!$B$7))</f>
        <v>11816.433869864442</v>
      </c>
      <c r="L64" s="88">
        <f>J64*BondCalculator!$B$5/12</f>
        <v>6361.227956609521</v>
      </c>
      <c r="M64" s="88">
        <f t="shared" si="7"/>
        <v>5455.205913254921</v>
      </c>
      <c r="N64" s="88">
        <f t="shared" si="0"/>
        <v>739273.9207142014</v>
      </c>
      <c r="P64" s="88">
        <f t="shared" si="1"/>
        <v>1331.660282861004</v>
      </c>
      <c r="Q64" s="89">
        <f>-PV(BondCalculator!$B$9/12,B64,0,1,0)</f>
        <v>0.7376837773575594</v>
      </c>
      <c r="S64" s="90">
        <f t="shared" si="2"/>
        <v>982.3441876179414</v>
      </c>
    </row>
    <row r="65" spans="1:19" ht="15" customHeight="1">
      <c r="A65" s="85" t="s">
        <v>103</v>
      </c>
      <c r="B65" s="96">
        <v>62</v>
      </c>
      <c r="C65" s="86">
        <f t="shared" si="8"/>
        <v>898507.2726490822</v>
      </c>
      <c r="D65" s="86">
        <f>IF(G64=0,0,IF(G64&lt;BondCalculator!$B$12,G64+E65,BondCalculator!$B$12))</f>
        <v>9816.433869864442</v>
      </c>
      <c r="E65" s="86">
        <f>C65*BondCalculator!$B$5/12</f>
        <v>7674.749620544244</v>
      </c>
      <c r="F65" s="86">
        <f t="shared" si="3"/>
        <v>2141.6842493201984</v>
      </c>
      <c r="G65" s="86">
        <f t="shared" si="4"/>
        <v>896365.588399762</v>
      </c>
      <c r="H65" s="98">
        <f t="shared" si="5"/>
        <v>0.8963655883997621</v>
      </c>
      <c r="J65" s="88">
        <f t="shared" si="6"/>
        <v>739273.9207142014</v>
      </c>
      <c r="K65" s="88">
        <f>IF(N64=0,0,IF(N64&lt;BondCalculator!$B$12+BondCalculator!$B$7,N64+L65,BondCalculator!$B$12+BondCalculator!$B$7))</f>
        <v>11816.433869864442</v>
      </c>
      <c r="L65" s="88">
        <f>J65*BondCalculator!$B$5/12</f>
        <v>6314.6314061004705</v>
      </c>
      <c r="M65" s="88">
        <f t="shared" si="7"/>
        <v>5501.802463763972</v>
      </c>
      <c r="N65" s="88">
        <f t="shared" si="0"/>
        <v>733772.1182504374</v>
      </c>
      <c r="P65" s="88">
        <f t="shared" si="1"/>
        <v>1360.1182144437735</v>
      </c>
      <c r="Q65" s="89">
        <f>-PV(BondCalculator!$B$9/12,B65,0,1,0)</f>
        <v>0.7340137088134921</v>
      </c>
      <c r="S65" s="90">
        <f t="shared" si="2"/>
        <v>998.3454150086588</v>
      </c>
    </row>
    <row r="66" spans="1:19" ht="15" customHeight="1">
      <c r="A66" s="85" t="s">
        <v>103</v>
      </c>
      <c r="B66" s="96">
        <v>63</v>
      </c>
      <c r="C66" s="86">
        <f t="shared" si="8"/>
        <v>896365.588399762</v>
      </c>
      <c r="D66" s="86">
        <f>IF(G65=0,0,IF(G65&lt;BondCalculator!$B$12,G65+E66,BondCalculator!$B$12))</f>
        <v>9816.433869864442</v>
      </c>
      <c r="E66" s="86">
        <f>C66*BondCalculator!$B$5/12</f>
        <v>7656.456067581301</v>
      </c>
      <c r="F66" s="86">
        <f t="shared" si="3"/>
        <v>2159.9778022831415</v>
      </c>
      <c r="G66" s="86">
        <f t="shared" si="4"/>
        <v>894205.6105974789</v>
      </c>
      <c r="H66" s="98">
        <f t="shared" si="5"/>
        <v>0.8942056105974789</v>
      </c>
      <c r="J66" s="88">
        <f t="shared" si="6"/>
        <v>733772.1182504374</v>
      </c>
      <c r="K66" s="88">
        <f>IF(N65=0,0,IF(N65&lt;BondCalculator!$B$12+BondCalculator!$B$7,N65+L66,BondCalculator!$B$12+BondCalculator!$B$7))</f>
        <v>11816.433869864442</v>
      </c>
      <c r="L66" s="88">
        <f>J66*BondCalculator!$B$5/12</f>
        <v>6267.636843389152</v>
      </c>
      <c r="M66" s="88">
        <f t="shared" si="7"/>
        <v>5548.79702647529</v>
      </c>
      <c r="N66" s="88">
        <f t="shared" si="0"/>
        <v>728223.3212239621</v>
      </c>
      <c r="P66" s="88">
        <f t="shared" si="1"/>
        <v>1388.8192241921488</v>
      </c>
      <c r="Q66" s="89">
        <f>-PV(BondCalculator!$B$9/12,B66,0,1,0)</f>
        <v>0.7303618993169076</v>
      </c>
      <c r="S66" s="90">
        <f t="shared" si="2"/>
        <v>1014.3406463888119</v>
      </c>
    </row>
    <row r="67" spans="1:19" ht="15" customHeight="1">
      <c r="A67" s="85" t="s">
        <v>103</v>
      </c>
      <c r="B67" s="96">
        <v>64</v>
      </c>
      <c r="C67" s="86">
        <f t="shared" si="8"/>
        <v>894205.6105974789</v>
      </c>
      <c r="D67" s="86">
        <f>IF(G66=0,0,IF(G66&lt;BondCalculator!$B$12,G66+E67,BondCalculator!$B$12))</f>
        <v>9816.433869864442</v>
      </c>
      <c r="E67" s="86">
        <f>C67*BondCalculator!$B$5/12</f>
        <v>7638.006257186799</v>
      </c>
      <c r="F67" s="86">
        <f t="shared" si="3"/>
        <v>2178.427612677643</v>
      </c>
      <c r="G67" s="86">
        <f t="shared" si="4"/>
        <v>892027.1829848012</v>
      </c>
      <c r="H67" s="98">
        <f t="shared" si="5"/>
        <v>0.8920271829848012</v>
      </c>
      <c r="J67" s="88">
        <f t="shared" si="6"/>
        <v>728223.3212239621</v>
      </c>
      <c r="K67" s="88">
        <f>IF(N66=0,0,IF(N66&lt;BondCalculator!$B$12+BondCalculator!$B$7,N66+L67,BondCalculator!$B$12+BondCalculator!$B$7))</f>
        <v>11816.433869864442</v>
      </c>
      <c r="L67" s="88">
        <f>J67*BondCalculator!$B$5/12</f>
        <v>6220.240868788009</v>
      </c>
      <c r="M67" s="88">
        <f t="shared" si="7"/>
        <v>5596.193001076434</v>
      </c>
      <c r="N67" s="88">
        <f t="shared" si="0"/>
        <v>722627.1282228857</v>
      </c>
      <c r="P67" s="88">
        <f t="shared" si="1"/>
        <v>1417.7653883987905</v>
      </c>
      <c r="Q67" s="89">
        <f>-PV(BondCalculator!$B$9/12,B67,0,1,0)</f>
        <v>0.7267282580267739</v>
      </c>
      <c r="S67" s="90">
        <f t="shared" si="2"/>
        <v>1030.3301710017056</v>
      </c>
    </row>
    <row r="68" spans="1:19" ht="15" customHeight="1">
      <c r="A68" s="85" t="s">
        <v>103</v>
      </c>
      <c r="B68" s="96">
        <v>65</v>
      </c>
      <c r="C68" s="86">
        <f t="shared" si="8"/>
        <v>892027.1829848012</v>
      </c>
      <c r="D68" s="86">
        <f>IF(G67=0,0,IF(G67&lt;BondCalculator!$B$12,G67+E68,BondCalculator!$B$12))</f>
        <v>9816.433869864442</v>
      </c>
      <c r="E68" s="86">
        <f>C68*BondCalculator!$B$5/12</f>
        <v>7619.398854661843</v>
      </c>
      <c r="F68" s="86">
        <f t="shared" si="3"/>
        <v>2197.0350152025994</v>
      </c>
      <c r="G68" s="86">
        <f t="shared" si="4"/>
        <v>889830.1479695986</v>
      </c>
      <c r="H68" s="98">
        <f t="shared" si="5"/>
        <v>0.8898301479695987</v>
      </c>
      <c r="J68" s="88">
        <f t="shared" si="6"/>
        <v>722627.1282228857</v>
      </c>
      <c r="K68" s="88">
        <f>IF(N67=0,0,IF(N67&lt;BondCalculator!$B$12+BondCalculator!$B$7,N67+L68,BondCalculator!$B$12+BondCalculator!$B$7))</f>
        <v>11816.433869864442</v>
      </c>
      <c r="L68" s="88">
        <f>J68*BondCalculator!$B$5/12</f>
        <v>6172.440053570481</v>
      </c>
      <c r="M68" s="88">
        <f t="shared" si="7"/>
        <v>5643.993816293962</v>
      </c>
      <c r="N68" s="88">
        <f aca="true" t="shared" si="9" ref="N68:N131">J68-M68</f>
        <v>716983.1344065916</v>
      </c>
      <c r="P68" s="88">
        <f aca="true" t="shared" si="10" ref="P68:P131">E68-L68</f>
        <v>1446.9588010913621</v>
      </c>
      <c r="Q68" s="89">
        <f>-PV(BondCalculator!$B$9/12,B68,0,1,0)</f>
        <v>0.723112694554004</v>
      </c>
      <c r="S68" s="90">
        <f aca="true" t="shared" si="11" ref="S68:S131">P68*Q68</f>
        <v>1046.314277565806</v>
      </c>
    </row>
    <row r="69" spans="1:19" ht="15" customHeight="1">
      <c r="A69" s="85" t="s">
        <v>103</v>
      </c>
      <c r="B69" s="96">
        <v>66</v>
      </c>
      <c r="C69" s="86">
        <f t="shared" si="8"/>
        <v>889830.1479695986</v>
      </c>
      <c r="D69" s="86">
        <f>IF(G68=0,0,IF(G68&lt;BondCalculator!$B$12,G68+E69,BondCalculator!$B$12))</f>
        <v>9816.433869864442</v>
      </c>
      <c r="E69" s="86">
        <f>C69*BondCalculator!$B$5/12</f>
        <v>7600.632513906989</v>
      </c>
      <c r="F69" s="86">
        <f aca="true" t="shared" si="12" ref="F69:F132">D69-E69</f>
        <v>2215.801355957454</v>
      </c>
      <c r="G69" s="86">
        <f aca="true" t="shared" si="13" ref="G69:G132">IF(ROUND(C69-F69,0)=0,0,C69-F69)</f>
        <v>887614.3466136412</v>
      </c>
      <c r="H69" s="98">
        <f aca="true" t="shared" si="14" ref="H69:H132">G69/$C$4</f>
        <v>0.8876143466136412</v>
      </c>
      <c r="J69" s="88">
        <f aca="true" t="shared" si="15" ref="J69:J132">IF(ROUND(N68,0)&gt;0,N68,0)</f>
        <v>716983.1344065916</v>
      </c>
      <c r="K69" s="88">
        <f>IF(N68=0,0,IF(N68&lt;BondCalculator!$B$12+BondCalculator!$B$7,N68+L69,BondCalculator!$B$12+BondCalculator!$B$7))</f>
        <v>11816.433869864442</v>
      </c>
      <c r="L69" s="88">
        <f>J69*BondCalculator!$B$5/12</f>
        <v>6124.23093972297</v>
      </c>
      <c r="M69" s="88">
        <f aca="true" t="shared" si="16" ref="M69:M132">IF(K69-L69&gt;N68,N68,K69-L69)</f>
        <v>5692.202930141472</v>
      </c>
      <c r="N69" s="88">
        <f t="shared" si="9"/>
        <v>711290.9314764502</v>
      </c>
      <c r="P69" s="88">
        <f t="shared" si="10"/>
        <v>1476.4015741840185</v>
      </c>
      <c r="Q69" s="89">
        <f>-PV(BondCalculator!$B$9/12,B69,0,1,0)</f>
        <v>0.719515118959208</v>
      </c>
      <c r="S69" s="90">
        <f t="shared" si="11"/>
        <v>1062.293254280576</v>
      </c>
    </row>
    <row r="70" spans="1:19" ht="15" customHeight="1">
      <c r="A70" s="85" t="s">
        <v>103</v>
      </c>
      <c r="B70" s="96">
        <v>67</v>
      </c>
      <c r="C70" s="86">
        <f aca="true" t="shared" si="17" ref="C70:C133">IF(ROUND(G69,0)=0,0,G69)</f>
        <v>887614.3466136412</v>
      </c>
      <c r="D70" s="86">
        <f>IF(G69=0,0,IF(G69&lt;BondCalculator!$B$12,G69+E70,BondCalculator!$B$12))</f>
        <v>9816.433869864442</v>
      </c>
      <c r="E70" s="86">
        <f>C70*BondCalculator!$B$5/12</f>
        <v>7581.705877324853</v>
      </c>
      <c r="F70" s="86">
        <f t="shared" si="12"/>
        <v>2234.7279925395896</v>
      </c>
      <c r="G70" s="86">
        <f t="shared" si="13"/>
        <v>885379.6186211016</v>
      </c>
      <c r="H70" s="98">
        <f t="shared" si="14"/>
        <v>0.8853796186211016</v>
      </c>
      <c r="J70" s="88">
        <f t="shared" si="15"/>
        <v>711290.9314764502</v>
      </c>
      <c r="K70" s="88">
        <f>IF(N69=0,0,IF(N69&lt;BondCalculator!$B$12+BondCalculator!$B$7,N69+L70,BondCalculator!$B$12+BondCalculator!$B$7))</f>
        <v>11816.433869864442</v>
      </c>
      <c r="L70" s="88">
        <f>J70*BondCalculator!$B$5/12</f>
        <v>6075.610039694679</v>
      </c>
      <c r="M70" s="88">
        <f t="shared" si="16"/>
        <v>5740.823830169764</v>
      </c>
      <c r="N70" s="88">
        <f t="shared" si="9"/>
        <v>705550.1076462804</v>
      </c>
      <c r="P70" s="88">
        <f t="shared" si="10"/>
        <v>1506.0958376301742</v>
      </c>
      <c r="Q70" s="89">
        <f>-PV(BondCalculator!$B$9/12,B70,0,1,0)</f>
        <v>0.7159354417504558</v>
      </c>
      <c r="S70" s="90">
        <f t="shared" si="11"/>
        <v>1078.2673888322815</v>
      </c>
    </row>
    <row r="71" spans="1:19" ht="15" customHeight="1">
      <c r="A71" s="85" t="s">
        <v>103</v>
      </c>
      <c r="B71" s="96">
        <v>68</v>
      </c>
      <c r="C71" s="86">
        <f t="shared" si="17"/>
        <v>885379.6186211016</v>
      </c>
      <c r="D71" s="86">
        <f>IF(G70=0,0,IF(G70&lt;BondCalculator!$B$12,G70+E71,BondCalculator!$B$12))</f>
        <v>9816.433869864442</v>
      </c>
      <c r="E71" s="86">
        <f>C71*BondCalculator!$B$5/12</f>
        <v>7562.617575721909</v>
      </c>
      <c r="F71" s="86">
        <f t="shared" si="12"/>
        <v>2253.8162941425335</v>
      </c>
      <c r="G71" s="86">
        <f t="shared" si="13"/>
        <v>883125.8023269591</v>
      </c>
      <c r="H71" s="98">
        <f t="shared" si="14"/>
        <v>0.8831258023269591</v>
      </c>
      <c r="J71" s="88">
        <f t="shared" si="15"/>
        <v>705550.1076462804</v>
      </c>
      <c r="K71" s="88">
        <f>IF(N70=0,0,IF(N70&lt;BondCalculator!$B$12+BondCalculator!$B$7,N70+L71,BondCalculator!$B$12+BondCalculator!$B$7))</f>
        <v>11816.433869864442</v>
      </c>
      <c r="L71" s="88">
        <f>J71*BondCalculator!$B$5/12</f>
        <v>6026.573836145311</v>
      </c>
      <c r="M71" s="88">
        <f t="shared" si="16"/>
        <v>5789.860033719131</v>
      </c>
      <c r="N71" s="88">
        <f t="shared" si="9"/>
        <v>699760.2476125613</v>
      </c>
      <c r="P71" s="88">
        <f t="shared" si="10"/>
        <v>1536.0437395765975</v>
      </c>
      <c r="Q71" s="89">
        <f>-PV(BondCalculator!$B$9/12,B71,0,1,0)</f>
        <v>0.7123735738810507</v>
      </c>
      <c r="S71" s="90">
        <f t="shared" si="11"/>
        <v>1094.2369683997947</v>
      </c>
    </row>
    <row r="72" spans="1:19" ht="15" customHeight="1">
      <c r="A72" s="85" t="s">
        <v>103</v>
      </c>
      <c r="B72" s="96">
        <v>69</v>
      </c>
      <c r="C72" s="86">
        <f t="shared" si="17"/>
        <v>883125.8023269591</v>
      </c>
      <c r="D72" s="86">
        <f>IF(G71=0,0,IF(G71&lt;BondCalculator!$B$12,G71+E72,BondCalculator!$B$12))</f>
        <v>9816.433869864442</v>
      </c>
      <c r="E72" s="86">
        <f>C72*BondCalculator!$B$5/12</f>
        <v>7543.366228209442</v>
      </c>
      <c r="F72" s="86">
        <f t="shared" si="12"/>
        <v>2273.0676416550004</v>
      </c>
      <c r="G72" s="86">
        <f t="shared" si="13"/>
        <v>880852.7346853041</v>
      </c>
      <c r="H72" s="98">
        <f t="shared" si="14"/>
        <v>0.8808527346853041</v>
      </c>
      <c r="J72" s="88">
        <f t="shared" si="15"/>
        <v>699760.2476125613</v>
      </c>
      <c r="K72" s="88">
        <f>IF(N71=0,0,IF(N71&lt;BondCalculator!$B$12+BondCalculator!$B$7,N71+L72,BondCalculator!$B$12+BondCalculator!$B$7))</f>
        <v>11816.433869864442</v>
      </c>
      <c r="L72" s="88">
        <f>J72*BondCalculator!$B$5/12</f>
        <v>5977.118781690628</v>
      </c>
      <c r="M72" s="88">
        <f t="shared" si="16"/>
        <v>5839.315088173815</v>
      </c>
      <c r="N72" s="88">
        <f t="shared" si="9"/>
        <v>693920.9325243875</v>
      </c>
      <c r="P72" s="88">
        <f t="shared" si="10"/>
        <v>1566.2474465188143</v>
      </c>
      <c r="Q72" s="89">
        <f>-PV(BondCalculator!$B$9/12,B72,0,1,0)</f>
        <v>0.7088294267473143</v>
      </c>
      <c r="S72" s="90">
        <f t="shared" si="11"/>
        <v>1110.202279660376</v>
      </c>
    </row>
    <row r="73" spans="1:19" ht="15" customHeight="1">
      <c r="A73" s="85" t="s">
        <v>103</v>
      </c>
      <c r="B73" s="96">
        <v>70</v>
      </c>
      <c r="C73" s="86">
        <f t="shared" si="17"/>
        <v>880852.7346853041</v>
      </c>
      <c r="D73" s="86">
        <f>IF(G72=0,0,IF(G72&lt;BondCalculator!$B$12,G72+E73,BondCalculator!$B$12))</f>
        <v>9816.433869864442</v>
      </c>
      <c r="E73" s="86">
        <f>C73*BondCalculator!$B$5/12</f>
        <v>7523.950442103639</v>
      </c>
      <c r="F73" s="86">
        <f t="shared" si="12"/>
        <v>2292.4834277608034</v>
      </c>
      <c r="G73" s="86">
        <f t="shared" si="13"/>
        <v>878560.2512575433</v>
      </c>
      <c r="H73" s="98">
        <f t="shared" si="14"/>
        <v>0.8785602512575433</v>
      </c>
      <c r="J73" s="88">
        <f t="shared" si="15"/>
        <v>693920.9325243875</v>
      </c>
      <c r="K73" s="88">
        <f>IF(N72=0,0,IF(N72&lt;BondCalculator!$B$12+BondCalculator!$B$7,N72+L73,BondCalculator!$B$12+BondCalculator!$B$7))</f>
        <v>11816.433869864442</v>
      </c>
      <c r="L73" s="88">
        <f>J73*BondCalculator!$B$5/12</f>
        <v>5927.24129864581</v>
      </c>
      <c r="M73" s="88">
        <f t="shared" si="16"/>
        <v>5889.192571218632</v>
      </c>
      <c r="N73" s="88">
        <f t="shared" si="9"/>
        <v>688031.7399531689</v>
      </c>
      <c r="P73" s="88">
        <f t="shared" si="10"/>
        <v>1596.7091434578288</v>
      </c>
      <c r="Q73" s="89">
        <f>-PV(BondCalculator!$B$9/12,B73,0,1,0)</f>
        <v>0.7053029121863825</v>
      </c>
      <c r="S73" s="90">
        <f t="shared" si="11"/>
        <v>1126.163608795431</v>
      </c>
    </row>
    <row r="74" spans="1:19" ht="15" customHeight="1">
      <c r="A74" s="85" t="s">
        <v>103</v>
      </c>
      <c r="B74" s="96">
        <v>71</v>
      </c>
      <c r="C74" s="86">
        <f t="shared" si="17"/>
        <v>878560.2512575433</v>
      </c>
      <c r="D74" s="86">
        <f>IF(G73=0,0,IF(G73&lt;BondCalculator!$B$12,G73+E74,BondCalculator!$B$12))</f>
        <v>9816.433869864442</v>
      </c>
      <c r="E74" s="86">
        <f>C74*BondCalculator!$B$5/12</f>
        <v>7504.36881282485</v>
      </c>
      <c r="F74" s="86">
        <f t="shared" si="12"/>
        <v>2312.065057039593</v>
      </c>
      <c r="G74" s="86">
        <f t="shared" si="13"/>
        <v>876248.1862005037</v>
      </c>
      <c r="H74" s="98">
        <f t="shared" si="14"/>
        <v>0.8762481862005037</v>
      </c>
      <c r="J74" s="88">
        <f t="shared" si="15"/>
        <v>688031.7399531689</v>
      </c>
      <c r="K74" s="88">
        <f>IF(N73=0,0,IF(N73&lt;BondCalculator!$B$12+BondCalculator!$B$7,N73+L74,BondCalculator!$B$12+BondCalculator!$B$7))</f>
        <v>11816.433869864442</v>
      </c>
      <c r="L74" s="88">
        <f>J74*BondCalculator!$B$5/12</f>
        <v>5876.93777876665</v>
      </c>
      <c r="M74" s="88">
        <f t="shared" si="16"/>
        <v>5939.4960910977925</v>
      </c>
      <c r="N74" s="88">
        <f t="shared" si="9"/>
        <v>682092.2438620711</v>
      </c>
      <c r="P74" s="88">
        <f t="shared" si="10"/>
        <v>1627.4310340581997</v>
      </c>
      <c r="Q74" s="89">
        <f>-PV(BondCalculator!$B$9/12,B74,0,1,0)</f>
        <v>0.7017939424740125</v>
      </c>
      <c r="S74" s="90">
        <f t="shared" si="11"/>
        <v>1142.1212414962629</v>
      </c>
    </row>
    <row r="75" spans="1:19" ht="15" customHeight="1">
      <c r="A75" s="85" t="s">
        <v>103</v>
      </c>
      <c r="B75" s="96">
        <v>72</v>
      </c>
      <c r="C75" s="86">
        <f t="shared" si="17"/>
        <v>876248.1862005037</v>
      </c>
      <c r="D75" s="86">
        <f>IF(G74=0,0,IF(G74&lt;BondCalculator!$B$12,G74+E75,BondCalculator!$B$12))</f>
        <v>9816.433869864442</v>
      </c>
      <c r="E75" s="86">
        <f>C75*BondCalculator!$B$5/12</f>
        <v>7484.619923795969</v>
      </c>
      <c r="F75" s="86">
        <f t="shared" si="12"/>
        <v>2331.8139460684733</v>
      </c>
      <c r="G75" s="86">
        <f t="shared" si="13"/>
        <v>873916.3722544352</v>
      </c>
      <c r="H75" s="98">
        <f t="shared" si="14"/>
        <v>0.8739163722544352</v>
      </c>
      <c r="J75" s="88">
        <f t="shared" si="15"/>
        <v>682092.2438620711</v>
      </c>
      <c r="K75" s="88">
        <f>IF(N74=0,0,IF(N74&lt;BondCalculator!$B$12+BondCalculator!$B$7,N74+L75,BondCalculator!$B$12+BondCalculator!$B$7))</f>
        <v>11816.433869864442</v>
      </c>
      <c r="L75" s="88">
        <f>J75*BondCalculator!$B$5/12</f>
        <v>5826.204582988524</v>
      </c>
      <c r="M75" s="88">
        <f t="shared" si="16"/>
        <v>5990.229286875919</v>
      </c>
      <c r="N75" s="88">
        <f t="shared" si="9"/>
        <v>676102.0145751951</v>
      </c>
      <c r="P75" s="88">
        <f t="shared" si="10"/>
        <v>1658.4153408074453</v>
      </c>
      <c r="Q75" s="89">
        <f>-PV(BondCalculator!$B$9/12,B75,0,1,0)</f>
        <v>0.6983024303224006</v>
      </c>
      <c r="S75" s="90">
        <f t="shared" si="11"/>
        <v>1158.0754629697913</v>
      </c>
    </row>
    <row r="76" spans="1:19" ht="15" customHeight="1">
      <c r="A76" s="85" t="s">
        <v>104</v>
      </c>
      <c r="B76" s="96">
        <v>73</v>
      </c>
      <c r="C76" s="86">
        <f t="shared" si="17"/>
        <v>873916.3722544352</v>
      </c>
      <c r="D76" s="86">
        <f>IF(G75=0,0,IF(G75&lt;BondCalculator!$B$12,G75+E76,BondCalculator!$B$12))</f>
        <v>9816.433869864442</v>
      </c>
      <c r="E76" s="86">
        <f>C76*BondCalculator!$B$5/12</f>
        <v>7464.702346339967</v>
      </c>
      <c r="F76" s="86">
        <f t="shared" si="12"/>
        <v>2351.731523524475</v>
      </c>
      <c r="G76" s="86">
        <f t="shared" si="13"/>
        <v>871564.6407309107</v>
      </c>
      <c r="H76" s="98">
        <f t="shared" si="14"/>
        <v>0.8715646407309107</v>
      </c>
      <c r="J76" s="88">
        <f t="shared" si="15"/>
        <v>676102.0145751951</v>
      </c>
      <c r="K76" s="88">
        <f>IF(N75=0,0,IF(N75&lt;BondCalculator!$B$12+BondCalculator!$B$7,N75+L76,BondCalculator!$B$12+BondCalculator!$B$7))</f>
        <v>11816.433869864442</v>
      </c>
      <c r="L76" s="88">
        <f>J76*BondCalculator!$B$5/12</f>
        <v>5775.038041163124</v>
      </c>
      <c r="M76" s="88">
        <f t="shared" si="16"/>
        <v>6041.395828701318</v>
      </c>
      <c r="N76" s="88">
        <f t="shared" si="9"/>
        <v>670060.6187464938</v>
      </c>
      <c r="P76" s="88">
        <f t="shared" si="10"/>
        <v>1689.6643051768433</v>
      </c>
      <c r="Q76" s="89">
        <f>-PV(BondCalculator!$B$9/12,B76,0,1,0)</f>
        <v>0.6948282888780105</v>
      </c>
      <c r="S76" s="90">
        <f t="shared" si="11"/>
        <v>1174.0265579442787</v>
      </c>
    </row>
    <row r="77" spans="1:19" ht="15" customHeight="1">
      <c r="A77" s="85" t="s">
        <v>104</v>
      </c>
      <c r="B77" s="96">
        <v>74</v>
      </c>
      <c r="C77" s="86">
        <f t="shared" si="17"/>
        <v>871564.6407309107</v>
      </c>
      <c r="D77" s="86">
        <f>IF(G76=0,0,IF(G76&lt;BondCalculator!$B$12,G76+E77,BondCalculator!$B$12))</f>
        <v>9816.433869864442</v>
      </c>
      <c r="E77" s="86">
        <f>C77*BondCalculator!$B$5/12</f>
        <v>7444.614639576528</v>
      </c>
      <c r="F77" s="86">
        <f t="shared" si="12"/>
        <v>2371.8192302879143</v>
      </c>
      <c r="G77" s="86">
        <f t="shared" si="13"/>
        <v>869192.8215006228</v>
      </c>
      <c r="H77" s="98">
        <f t="shared" si="14"/>
        <v>0.8691928215006228</v>
      </c>
      <c r="J77" s="88">
        <f t="shared" si="15"/>
        <v>670060.6187464938</v>
      </c>
      <c r="K77" s="88">
        <f>IF(N76=0,0,IF(N76&lt;BondCalculator!$B$12+BondCalculator!$B$7,N76+L77,BondCalculator!$B$12+BondCalculator!$B$7))</f>
        <v>11816.433869864442</v>
      </c>
      <c r="L77" s="88">
        <f>J77*BondCalculator!$B$5/12</f>
        <v>5723.434451792968</v>
      </c>
      <c r="M77" s="88">
        <f t="shared" si="16"/>
        <v>6092.999418071475</v>
      </c>
      <c r="N77" s="88">
        <f t="shared" si="9"/>
        <v>663967.6193284224</v>
      </c>
      <c r="P77" s="88">
        <f t="shared" si="10"/>
        <v>1721.1801877835605</v>
      </c>
      <c r="Q77" s="89">
        <f>-PV(BondCalculator!$B$9/12,B77,0,1,0)</f>
        <v>0.6913714317194136</v>
      </c>
      <c r="S77" s="90">
        <f t="shared" si="11"/>
        <v>1189.9748106750094</v>
      </c>
    </row>
    <row r="78" spans="1:19" ht="15" customHeight="1">
      <c r="A78" s="85" t="s">
        <v>104</v>
      </c>
      <c r="B78" s="96">
        <v>75</v>
      </c>
      <c r="C78" s="86">
        <f t="shared" si="17"/>
        <v>869192.8215006228</v>
      </c>
      <c r="D78" s="86">
        <f>IF(G77=0,0,IF(G77&lt;BondCalculator!$B$12,G77+E78,BondCalculator!$B$12))</f>
        <v>9816.433869864442</v>
      </c>
      <c r="E78" s="86">
        <f>C78*BondCalculator!$B$5/12</f>
        <v>7424.355350317819</v>
      </c>
      <c r="F78" s="86">
        <f t="shared" si="12"/>
        <v>2392.0785195466233</v>
      </c>
      <c r="G78" s="86">
        <f t="shared" si="13"/>
        <v>866800.7429810761</v>
      </c>
      <c r="H78" s="98">
        <f t="shared" si="14"/>
        <v>0.8668007429810761</v>
      </c>
      <c r="J78" s="88">
        <f t="shared" si="15"/>
        <v>663967.6193284224</v>
      </c>
      <c r="K78" s="88">
        <f>IF(N77=0,0,IF(N77&lt;BondCalculator!$B$12+BondCalculator!$B$7,N77+L78,BondCalculator!$B$12+BondCalculator!$B$7))</f>
        <v>11816.433869864442</v>
      </c>
      <c r="L78" s="88">
        <f>J78*BondCalculator!$B$5/12</f>
        <v>5671.390081763607</v>
      </c>
      <c r="M78" s="88">
        <f t="shared" si="16"/>
        <v>6145.043788100836</v>
      </c>
      <c r="N78" s="88">
        <f t="shared" si="9"/>
        <v>657822.5755403215</v>
      </c>
      <c r="P78" s="88">
        <f t="shared" si="10"/>
        <v>1752.9652685542123</v>
      </c>
      <c r="Q78" s="89">
        <f>-PV(BondCalculator!$B$9/12,B78,0,1,0)</f>
        <v>0.6879317728551381</v>
      </c>
      <c r="S78" s="90">
        <f t="shared" si="11"/>
        <v>1205.9205049499826</v>
      </c>
    </row>
    <row r="79" spans="1:19" ht="15" customHeight="1">
      <c r="A79" s="85" t="s">
        <v>104</v>
      </c>
      <c r="B79" s="96">
        <v>76</v>
      </c>
      <c r="C79" s="86">
        <f t="shared" si="17"/>
        <v>866800.7429810761</v>
      </c>
      <c r="D79" s="86">
        <f>IF(G78=0,0,IF(G78&lt;BondCalculator!$B$12,G78+E79,BondCalculator!$B$12))</f>
        <v>9816.433869864442</v>
      </c>
      <c r="E79" s="86">
        <f>C79*BondCalculator!$B$5/12</f>
        <v>7403.923012963358</v>
      </c>
      <c r="F79" s="86">
        <f t="shared" si="12"/>
        <v>2412.5108569010845</v>
      </c>
      <c r="G79" s="86">
        <f t="shared" si="13"/>
        <v>864388.2321241751</v>
      </c>
      <c r="H79" s="98">
        <f t="shared" si="14"/>
        <v>0.864388232124175</v>
      </c>
      <c r="J79" s="88">
        <f t="shared" si="15"/>
        <v>657822.5755403215</v>
      </c>
      <c r="K79" s="88">
        <f>IF(N78=0,0,IF(N78&lt;BondCalculator!$B$12+BondCalculator!$B$7,N78+L79,BondCalculator!$B$12+BondCalculator!$B$7))</f>
        <v>11816.433869864442</v>
      </c>
      <c r="L79" s="88">
        <f>J79*BondCalculator!$B$5/12</f>
        <v>5618.901166073579</v>
      </c>
      <c r="M79" s="88">
        <f t="shared" si="16"/>
        <v>6197.532703790864</v>
      </c>
      <c r="N79" s="88">
        <f t="shared" si="9"/>
        <v>651625.0428365307</v>
      </c>
      <c r="P79" s="88">
        <f t="shared" si="10"/>
        <v>1785.0218468897792</v>
      </c>
      <c r="Q79" s="89">
        <f>-PV(BondCalculator!$B$9/12,B79,0,1,0)</f>
        <v>0.6845092267215306</v>
      </c>
      <c r="S79" s="90">
        <f t="shared" si="11"/>
        <v>1221.863924095561</v>
      </c>
    </row>
    <row r="80" spans="1:19" ht="15" customHeight="1">
      <c r="A80" s="85" t="s">
        <v>104</v>
      </c>
      <c r="B80" s="96">
        <v>77</v>
      </c>
      <c r="C80" s="86">
        <f t="shared" si="17"/>
        <v>864388.2321241751</v>
      </c>
      <c r="D80" s="86">
        <f>IF(G79=0,0,IF(G79&lt;BondCalculator!$B$12,G79+E80,BondCalculator!$B$12))</f>
        <v>9816.433869864442</v>
      </c>
      <c r="E80" s="86">
        <f>C80*BondCalculator!$B$5/12</f>
        <v>7383.316149393995</v>
      </c>
      <c r="F80" s="86">
        <f t="shared" si="12"/>
        <v>2433.1177204704472</v>
      </c>
      <c r="G80" s="86">
        <f t="shared" si="13"/>
        <v>861955.1144037046</v>
      </c>
      <c r="H80" s="98">
        <f t="shared" si="14"/>
        <v>0.8619551144037046</v>
      </c>
      <c r="J80" s="88">
        <f t="shared" si="15"/>
        <v>651625.0428365307</v>
      </c>
      <c r="K80" s="88">
        <f>IF(N79=0,0,IF(N79&lt;BondCalculator!$B$12+BondCalculator!$B$7,N79+L80,BondCalculator!$B$12+BondCalculator!$B$7))</f>
        <v>11816.433869864442</v>
      </c>
      <c r="L80" s="88">
        <f>J80*BondCalculator!$B$5/12</f>
        <v>5565.963907562033</v>
      </c>
      <c r="M80" s="88">
        <f t="shared" si="16"/>
        <v>6250.46996230241</v>
      </c>
      <c r="N80" s="88">
        <f t="shared" si="9"/>
        <v>645374.5728742284</v>
      </c>
      <c r="P80" s="88">
        <f t="shared" si="10"/>
        <v>1817.3522418319626</v>
      </c>
      <c r="Q80" s="89">
        <f>-PV(BondCalculator!$B$9/12,B80,0,1,0)</f>
        <v>0.6811037081806275</v>
      </c>
      <c r="S80" s="90">
        <f t="shared" si="11"/>
        <v>1237.8053509821261</v>
      </c>
    </row>
    <row r="81" spans="1:19" ht="15" customHeight="1">
      <c r="A81" s="85" t="s">
        <v>104</v>
      </c>
      <c r="B81" s="96">
        <v>78</v>
      </c>
      <c r="C81" s="86">
        <f t="shared" si="17"/>
        <v>861955.1144037046</v>
      </c>
      <c r="D81" s="86">
        <f>IF(G80=0,0,IF(G80&lt;BondCalculator!$B$12,G80+E81,BondCalculator!$B$12))</f>
        <v>9816.433869864442</v>
      </c>
      <c r="E81" s="86">
        <f>C81*BondCalculator!$B$5/12</f>
        <v>7362.533268864977</v>
      </c>
      <c r="F81" s="86">
        <f t="shared" si="12"/>
        <v>2453.9006009994655</v>
      </c>
      <c r="G81" s="86">
        <f t="shared" si="13"/>
        <v>859501.2138027052</v>
      </c>
      <c r="H81" s="98">
        <f t="shared" si="14"/>
        <v>0.8595012138027052</v>
      </c>
      <c r="J81" s="88">
        <f t="shared" si="15"/>
        <v>645374.5728742284</v>
      </c>
      <c r="K81" s="88">
        <f>IF(N80=0,0,IF(N80&lt;BondCalculator!$B$12+BondCalculator!$B$7,N80+L81,BondCalculator!$B$12+BondCalculator!$B$7))</f>
        <v>11816.433869864442</v>
      </c>
      <c r="L81" s="88">
        <f>J81*BondCalculator!$B$5/12</f>
        <v>5512.574476634033</v>
      </c>
      <c r="M81" s="88">
        <f t="shared" si="16"/>
        <v>6303.859393230409</v>
      </c>
      <c r="N81" s="88">
        <f t="shared" si="9"/>
        <v>639070.713480998</v>
      </c>
      <c r="P81" s="88">
        <f t="shared" si="10"/>
        <v>1849.9587922309438</v>
      </c>
      <c r="Q81" s="89">
        <f>-PV(BondCalculator!$B$9/12,B81,0,1,0)</f>
        <v>0.6777151325180375</v>
      </c>
      <c r="S81" s="90">
        <f t="shared" si="11"/>
        <v>1253.7450680297027</v>
      </c>
    </row>
    <row r="82" spans="1:19" ht="15" customHeight="1">
      <c r="A82" s="85" t="s">
        <v>104</v>
      </c>
      <c r="B82" s="96">
        <v>79</v>
      </c>
      <c r="C82" s="86">
        <f t="shared" si="17"/>
        <v>859501.2138027052</v>
      </c>
      <c r="D82" s="86">
        <f>IF(G81=0,0,IF(G81&lt;BondCalculator!$B$12,G81+E82,BondCalculator!$B$12))</f>
        <v>9816.433869864442</v>
      </c>
      <c r="E82" s="86">
        <f>C82*BondCalculator!$B$5/12</f>
        <v>7341.572867898107</v>
      </c>
      <c r="F82" s="86">
        <f t="shared" si="12"/>
        <v>2474.8610019663356</v>
      </c>
      <c r="G82" s="86">
        <f t="shared" si="13"/>
        <v>857026.3528007389</v>
      </c>
      <c r="H82" s="98">
        <f t="shared" si="14"/>
        <v>0.8570263528007389</v>
      </c>
      <c r="J82" s="88">
        <f t="shared" si="15"/>
        <v>639070.713480998</v>
      </c>
      <c r="K82" s="88">
        <f>IF(N81=0,0,IF(N81&lt;BondCalculator!$B$12+BondCalculator!$B$7,N81+L82,BondCalculator!$B$12+BondCalculator!$B$7))</f>
        <v>11816.433869864442</v>
      </c>
      <c r="L82" s="88">
        <f>J82*BondCalculator!$B$5/12</f>
        <v>5458.729010983524</v>
      </c>
      <c r="M82" s="88">
        <f t="shared" si="16"/>
        <v>6357.704858880918</v>
      </c>
      <c r="N82" s="88">
        <f t="shared" si="9"/>
        <v>632713.008622117</v>
      </c>
      <c r="P82" s="88">
        <f t="shared" si="10"/>
        <v>1882.8438569145828</v>
      </c>
      <c r="Q82" s="89">
        <f>-PV(BondCalculator!$B$9/12,B82,0,1,0)</f>
        <v>0.6743434154408334</v>
      </c>
      <c r="S82" s="90">
        <f t="shared" si="11"/>
        <v>1269.6833572135718</v>
      </c>
    </row>
    <row r="83" spans="1:19" ht="15" customHeight="1">
      <c r="A83" s="85" t="s">
        <v>104</v>
      </c>
      <c r="B83" s="96">
        <v>80</v>
      </c>
      <c r="C83" s="86">
        <f t="shared" si="17"/>
        <v>857026.3528007389</v>
      </c>
      <c r="D83" s="86">
        <f>IF(G82=0,0,IF(G82&lt;BondCalculator!$B$12,G82+E83,BondCalculator!$B$12))</f>
        <v>9816.433869864442</v>
      </c>
      <c r="E83" s="86">
        <f>C83*BondCalculator!$B$5/12</f>
        <v>7320.433430172977</v>
      </c>
      <c r="F83" s="86">
        <f t="shared" si="12"/>
        <v>2496.0004396914655</v>
      </c>
      <c r="G83" s="86">
        <f t="shared" si="13"/>
        <v>854530.3523610474</v>
      </c>
      <c r="H83" s="98">
        <f t="shared" si="14"/>
        <v>0.8545303523610475</v>
      </c>
      <c r="J83" s="88">
        <f t="shared" si="15"/>
        <v>632713.008622117</v>
      </c>
      <c r="K83" s="88">
        <f>IF(N82=0,0,IF(N82&lt;BondCalculator!$B$12+BondCalculator!$B$7,N82+L83,BondCalculator!$B$12+BondCalculator!$B$7))</f>
        <v>11816.433869864442</v>
      </c>
      <c r="L83" s="88">
        <f>J83*BondCalculator!$B$5/12</f>
        <v>5404.423615313915</v>
      </c>
      <c r="M83" s="88">
        <f t="shared" si="16"/>
        <v>6412.010254550527</v>
      </c>
      <c r="N83" s="88">
        <f t="shared" si="9"/>
        <v>626300.9983675665</v>
      </c>
      <c r="P83" s="88">
        <f t="shared" si="10"/>
        <v>1916.0098148590614</v>
      </c>
      <c r="Q83" s="89">
        <f>-PV(BondCalculator!$B$9/12,B83,0,1,0)</f>
        <v>0.6709884730754562</v>
      </c>
      <c r="S83" s="90">
        <f t="shared" si="11"/>
        <v>1285.6205000698692</v>
      </c>
    </row>
    <row r="84" spans="1:19" ht="15" customHeight="1">
      <c r="A84" s="85" t="s">
        <v>104</v>
      </c>
      <c r="B84" s="96">
        <v>81</v>
      </c>
      <c r="C84" s="86">
        <f t="shared" si="17"/>
        <v>854530.3523610474</v>
      </c>
      <c r="D84" s="86">
        <f>IF(G83=0,0,IF(G83&lt;BondCalculator!$B$12,G83+E84,BondCalculator!$B$12))</f>
        <v>9816.433869864442</v>
      </c>
      <c r="E84" s="86">
        <f>C84*BondCalculator!$B$5/12</f>
        <v>7299.11342641728</v>
      </c>
      <c r="F84" s="86">
        <f t="shared" si="12"/>
        <v>2517.3204434471627</v>
      </c>
      <c r="G84" s="86">
        <f t="shared" si="13"/>
        <v>852013.0319176002</v>
      </c>
      <c r="H84" s="98">
        <f t="shared" si="14"/>
        <v>0.8520130319176001</v>
      </c>
      <c r="J84" s="88">
        <f t="shared" si="15"/>
        <v>626300.9983675665</v>
      </c>
      <c r="K84" s="88">
        <f>IF(N83=0,0,IF(N83&lt;BondCalculator!$B$12+BondCalculator!$B$7,N83+L84,BondCalculator!$B$12+BondCalculator!$B$7))</f>
        <v>11816.433869864442</v>
      </c>
      <c r="L84" s="88">
        <f>J84*BondCalculator!$B$5/12</f>
        <v>5349.654361056297</v>
      </c>
      <c r="M84" s="88">
        <f t="shared" si="16"/>
        <v>6466.779508808146</v>
      </c>
      <c r="N84" s="88">
        <f t="shared" si="9"/>
        <v>619834.2188587583</v>
      </c>
      <c r="P84" s="88">
        <f t="shared" si="10"/>
        <v>1949.459065360983</v>
      </c>
      <c r="Q84" s="89">
        <f>-PV(BondCalculator!$B$9/12,B84,0,1,0)</f>
        <v>0.6676502219656281</v>
      </c>
      <c r="S84" s="90">
        <f t="shared" si="11"/>
        <v>1301.556777701166</v>
      </c>
    </row>
    <row r="85" spans="1:19" ht="15" customHeight="1">
      <c r="A85" s="85" t="s">
        <v>104</v>
      </c>
      <c r="B85" s="96">
        <v>82</v>
      </c>
      <c r="C85" s="86">
        <f t="shared" si="17"/>
        <v>852013.0319176002</v>
      </c>
      <c r="D85" s="86">
        <f>IF(G84=0,0,IF(G84&lt;BondCalculator!$B$12,G84+E85,BondCalculator!$B$12))</f>
        <v>9816.433869864442</v>
      </c>
      <c r="E85" s="86">
        <f>C85*BondCalculator!$B$5/12</f>
        <v>7277.6113142961685</v>
      </c>
      <c r="F85" s="86">
        <f t="shared" si="12"/>
        <v>2538.822555568274</v>
      </c>
      <c r="G85" s="86">
        <f t="shared" si="13"/>
        <v>849474.2093620319</v>
      </c>
      <c r="H85" s="98">
        <f t="shared" si="14"/>
        <v>0.8494742093620319</v>
      </c>
      <c r="J85" s="88">
        <f t="shared" si="15"/>
        <v>619834.2188587583</v>
      </c>
      <c r="K85" s="88">
        <f>IF(N84=0,0,IF(N84&lt;BondCalculator!$B$12+BondCalculator!$B$7,N84+L85,BondCalculator!$B$12+BondCalculator!$B$7))</f>
        <v>11816.433869864442</v>
      </c>
      <c r="L85" s="88">
        <f>J85*BondCalculator!$B$5/12</f>
        <v>5294.417286085228</v>
      </c>
      <c r="M85" s="88">
        <f t="shared" si="16"/>
        <v>6522.016583779215</v>
      </c>
      <c r="N85" s="88">
        <f t="shared" si="9"/>
        <v>613312.2022749791</v>
      </c>
      <c r="P85" s="88">
        <f t="shared" si="10"/>
        <v>1983.1940282109408</v>
      </c>
      <c r="Q85" s="89">
        <f>-PV(BondCalculator!$B$9/12,B85,0,1,0)</f>
        <v>0.6643285790702769</v>
      </c>
      <c r="S85" s="90">
        <f t="shared" si="11"/>
        <v>1317.4924707820328</v>
      </c>
    </row>
    <row r="86" spans="1:19" ht="15" customHeight="1">
      <c r="A86" s="85" t="s">
        <v>104</v>
      </c>
      <c r="B86" s="96">
        <v>83</v>
      </c>
      <c r="C86" s="86">
        <f t="shared" si="17"/>
        <v>849474.2093620319</v>
      </c>
      <c r="D86" s="86">
        <f>IF(G85=0,0,IF(G85&lt;BondCalculator!$B$12,G85+E86,BondCalculator!$B$12))</f>
        <v>9816.433869864442</v>
      </c>
      <c r="E86" s="86">
        <f>C86*BondCalculator!$B$5/12</f>
        <v>7255.9255383006885</v>
      </c>
      <c r="F86" s="86">
        <f t="shared" si="12"/>
        <v>2560.508331563754</v>
      </c>
      <c r="G86" s="86">
        <f t="shared" si="13"/>
        <v>846913.7010304681</v>
      </c>
      <c r="H86" s="98">
        <f t="shared" si="14"/>
        <v>0.8469137010304681</v>
      </c>
      <c r="J86" s="88">
        <f t="shared" si="15"/>
        <v>613312.2022749791</v>
      </c>
      <c r="K86" s="88">
        <f>IF(N85=0,0,IF(N85&lt;BondCalculator!$B$12+BondCalculator!$B$7,N85+L86,BondCalculator!$B$12+BondCalculator!$B$7))</f>
        <v>11816.433869864442</v>
      </c>
      <c r="L86" s="88">
        <f>J86*BondCalculator!$B$5/12</f>
        <v>5238.708394432113</v>
      </c>
      <c r="M86" s="88">
        <f t="shared" si="16"/>
        <v>6577.725475432329</v>
      </c>
      <c r="N86" s="88">
        <f t="shared" si="9"/>
        <v>606734.4767995467</v>
      </c>
      <c r="P86" s="88">
        <f t="shared" si="10"/>
        <v>2017.2171438685755</v>
      </c>
      <c r="Q86" s="89">
        <f>-PV(BondCalculator!$B$9/12,B86,0,1,0)</f>
        <v>0.6610234617614696</v>
      </c>
      <c r="S86" s="90">
        <f t="shared" si="11"/>
        <v>1333.4278595645903</v>
      </c>
    </row>
    <row r="87" spans="1:19" ht="15" customHeight="1">
      <c r="A87" s="85" t="s">
        <v>104</v>
      </c>
      <c r="B87" s="96">
        <v>84</v>
      </c>
      <c r="C87" s="86">
        <f t="shared" si="17"/>
        <v>846913.7010304681</v>
      </c>
      <c r="D87" s="86">
        <f>IF(G86=0,0,IF(G86&lt;BondCalculator!$B$12,G86+E87,BondCalculator!$B$12))</f>
        <v>9816.433869864442</v>
      </c>
      <c r="E87" s="86">
        <f>C87*BondCalculator!$B$5/12</f>
        <v>7234.0545296352475</v>
      </c>
      <c r="F87" s="86">
        <f t="shared" si="12"/>
        <v>2582.379340229195</v>
      </c>
      <c r="G87" s="86">
        <f t="shared" si="13"/>
        <v>844331.3216902389</v>
      </c>
      <c r="H87" s="98">
        <f t="shared" si="14"/>
        <v>0.844331321690239</v>
      </c>
      <c r="J87" s="88">
        <f t="shared" si="15"/>
        <v>606734.4767995467</v>
      </c>
      <c r="K87" s="88">
        <f>IF(N86=0,0,IF(N86&lt;BondCalculator!$B$12+BondCalculator!$B$7,N86+L87,BondCalculator!$B$12+BondCalculator!$B$7))</f>
        <v>11816.433869864442</v>
      </c>
      <c r="L87" s="88">
        <f>J87*BondCalculator!$B$5/12</f>
        <v>5182.523655996128</v>
      </c>
      <c r="M87" s="88">
        <f t="shared" si="16"/>
        <v>6633.910213868315</v>
      </c>
      <c r="N87" s="88">
        <f t="shared" si="9"/>
        <v>600100.5665856784</v>
      </c>
      <c r="P87" s="88">
        <f t="shared" si="10"/>
        <v>2051.53087363912</v>
      </c>
      <c r="Q87" s="89">
        <f>-PV(BondCalculator!$B$9/12,B87,0,1,0)</f>
        <v>0.6577347878223578</v>
      </c>
      <c r="S87" s="90">
        <f t="shared" si="11"/>
        <v>1349.3632238840428</v>
      </c>
    </row>
    <row r="88" spans="1:19" ht="15" customHeight="1">
      <c r="A88" s="85" t="s">
        <v>105</v>
      </c>
      <c r="B88" s="96">
        <v>85</v>
      </c>
      <c r="C88" s="86">
        <f t="shared" si="17"/>
        <v>844331.3216902389</v>
      </c>
      <c r="D88" s="86">
        <f>IF(G87=0,0,IF(G87&lt;BondCalculator!$B$12,G87+E88,BondCalculator!$B$12))</f>
        <v>9816.433869864442</v>
      </c>
      <c r="E88" s="86">
        <f>C88*BondCalculator!$B$5/12</f>
        <v>7211.996706104123</v>
      </c>
      <c r="F88" s="86">
        <f t="shared" si="12"/>
        <v>2604.437163760319</v>
      </c>
      <c r="G88" s="86">
        <f t="shared" si="13"/>
        <v>841726.8845264786</v>
      </c>
      <c r="H88" s="98">
        <f t="shared" si="14"/>
        <v>0.8417268845264786</v>
      </c>
      <c r="J88" s="88">
        <f t="shared" si="15"/>
        <v>600100.5665856784</v>
      </c>
      <c r="K88" s="88">
        <f>IF(N87=0,0,IF(N87&lt;BondCalculator!$B$12+BondCalculator!$B$7,N87+L88,BondCalculator!$B$12+BondCalculator!$B$7))</f>
        <v>11816.433869864442</v>
      </c>
      <c r="L88" s="88">
        <f>J88*BondCalculator!$B$5/12</f>
        <v>5125.859006252669</v>
      </c>
      <c r="M88" s="88">
        <f t="shared" si="16"/>
        <v>6690.574863611773</v>
      </c>
      <c r="N88" s="88">
        <f t="shared" si="9"/>
        <v>593409.9917220667</v>
      </c>
      <c r="P88" s="88">
        <f t="shared" si="10"/>
        <v>2086.1376998514543</v>
      </c>
      <c r="Q88" s="89">
        <f>-PV(BondCalculator!$B$9/12,B88,0,1,0)</f>
        <v>0.6544624754451325</v>
      </c>
      <c r="S88" s="90">
        <f t="shared" si="11"/>
        <v>1365.2988431641975</v>
      </c>
    </row>
    <row r="89" spans="1:19" ht="15" customHeight="1">
      <c r="A89" s="85" t="s">
        <v>105</v>
      </c>
      <c r="B89" s="96">
        <v>86</v>
      </c>
      <c r="C89" s="86">
        <f t="shared" si="17"/>
        <v>841726.8845264786</v>
      </c>
      <c r="D89" s="86">
        <f>IF(G88=0,0,IF(G88&lt;BondCalculator!$B$12,G88+E89,BondCalculator!$B$12))</f>
        <v>9816.433869864442</v>
      </c>
      <c r="E89" s="86">
        <f>C89*BondCalculator!$B$5/12</f>
        <v>7189.750471997005</v>
      </c>
      <c r="F89" s="86">
        <f t="shared" si="12"/>
        <v>2626.6833978674376</v>
      </c>
      <c r="G89" s="86">
        <f t="shared" si="13"/>
        <v>839100.2011286111</v>
      </c>
      <c r="H89" s="98">
        <f t="shared" si="14"/>
        <v>0.8391002011286111</v>
      </c>
      <c r="J89" s="88">
        <f t="shared" si="15"/>
        <v>593409.9917220667</v>
      </c>
      <c r="K89" s="88">
        <f>IF(N88=0,0,IF(N88&lt;BondCalculator!$B$12+BondCalculator!$B$7,N88+L89,BondCalculator!$B$12+BondCalculator!$B$7))</f>
        <v>11816.433869864442</v>
      </c>
      <c r="L89" s="88">
        <f>J89*BondCalculator!$B$5/12</f>
        <v>5068.710345959319</v>
      </c>
      <c r="M89" s="88">
        <f t="shared" si="16"/>
        <v>6747.723523905123</v>
      </c>
      <c r="N89" s="88">
        <f t="shared" si="9"/>
        <v>586662.2681981615</v>
      </c>
      <c r="P89" s="88">
        <f t="shared" si="10"/>
        <v>2121.0401260376857</v>
      </c>
      <c r="Q89" s="89">
        <f>-PV(BondCalculator!$B$9/12,B89,0,1,0)</f>
        <v>0.6512064432289876</v>
      </c>
      <c r="S89" s="90">
        <f t="shared" si="11"/>
        <v>1381.2349964229647</v>
      </c>
    </row>
    <row r="90" spans="1:19" ht="15" customHeight="1">
      <c r="A90" s="85" t="s">
        <v>105</v>
      </c>
      <c r="B90" s="96">
        <v>87</v>
      </c>
      <c r="C90" s="86">
        <f t="shared" si="17"/>
        <v>839100.2011286111</v>
      </c>
      <c r="D90" s="86">
        <f>IF(G89=0,0,IF(G89&lt;BondCalculator!$B$12,G89+E90,BondCalculator!$B$12))</f>
        <v>9816.433869864442</v>
      </c>
      <c r="E90" s="86">
        <f>C90*BondCalculator!$B$5/12</f>
        <v>7167.314217973552</v>
      </c>
      <c r="F90" s="86">
        <f t="shared" si="12"/>
        <v>2649.11965189089</v>
      </c>
      <c r="G90" s="86">
        <f t="shared" si="13"/>
        <v>836451.0814767202</v>
      </c>
      <c r="H90" s="98">
        <f t="shared" si="14"/>
        <v>0.8364510814767202</v>
      </c>
      <c r="J90" s="88">
        <f t="shared" si="15"/>
        <v>586662.2681981615</v>
      </c>
      <c r="K90" s="88">
        <f>IF(N89=0,0,IF(N89&lt;BondCalculator!$B$12+BondCalculator!$B$7,N89+L90,BondCalculator!$B$12+BondCalculator!$B$7))</f>
        <v>11816.433869864442</v>
      </c>
      <c r="L90" s="88">
        <f>J90*BondCalculator!$B$5/12</f>
        <v>5011.073540859296</v>
      </c>
      <c r="M90" s="88">
        <f t="shared" si="16"/>
        <v>6805.360329005146</v>
      </c>
      <c r="N90" s="88">
        <f t="shared" si="9"/>
        <v>579856.9078691563</v>
      </c>
      <c r="P90" s="88">
        <f t="shared" si="10"/>
        <v>2156.240677114256</v>
      </c>
      <c r="Q90" s="89">
        <f>-PV(BondCalculator!$B$9/12,B90,0,1,0)</f>
        <v>0.6479666101780973</v>
      </c>
      <c r="S90" s="90">
        <f t="shared" si="11"/>
        <v>1397.1719622778496</v>
      </c>
    </row>
    <row r="91" spans="1:19" ht="15" customHeight="1">
      <c r="A91" s="85" t="s">
        <v>105</v>
      </c>
      <c r="B91" s="96">
        <v>88</v>
      </c>
      <c r="C91" s="86">
        <f t="shared" si="17"/>
        <v>836451.0814767202</v>
      </c>
      <c r="D91" s="86">
        <f>IF(G90=0,0,IF(G90&lt;BondCalculator!$B$12,G90+E91,BondCalculator!$B$12))</f>
        <v>9816.433869864442</v>
      </c>
      <c r="E91" s="86">
        <f>C91*BondCalculator!$B$5/12</f>
        <v>7144.686320946985</v>
      </c>
      <c r="F91" s="86">
        <f t="shared" si="12"/>
        <v>2671.7475489174576</v>
      </c>
      <c r="G91" s="86">
        <f t="shared" si="13"/>
        <v>833779.3339278027</v>
      </c>
      <c r="H91" s="98">
        <f t="shared" si="14"/>
        <v>0.8337793339278028</v>
      </c>
      <c r="J91" s="88">
        <f t="shared" si="15"/>
        <v>579856.9078691563</v>
      </c>
      <c r="K91" s="88">
        <f>IF(N90=0,0,IF(N90&lt;BondCalculator!$B$12+BondCalculator!$B$7,N90+L91,BondCalculator!$B$12+BondCalculator!$B$7))</f>
        <v>11816.433869864442</v>
      </c>
      <c r="L91" s="88">
        <f>J91*BondCalculator!$B$5/12</f>
        <v>4952.944421382376</v>
      </c>
      <c r="M91" s="88">
        <f t="shared" si="16"/>
        <v>6863.489448482066</v>
      </c>
      <c r="N91" s="88">
        <f t="shared" si="9"/>
        <v>572993.4184206743</v>
      </c>
      <c r="P91" s="88">
        <f t="shared" si="10"/>
        <v>2191.7418995646085</v>
      </c>
      <c r="Q91" s="89">
        <f>-PV(BondCalculator!$B$9/12,B91,0,1,0)</f>
        <v>0.6447428956995992</v>
      </c>
      <c r="S91" s="90">
        <f t="shared" si="11"/>
        <v>1413.110018951426</v>
      </c>
    </row>
    <row r="92" spans="1:19" ht="15" customHeight="1">
      <c r="A92" s="85" t="s">
        <v>105</v>
      </c>
      <c r="B92" s="96">
        <v>89</v>
      </c>
      <c r="C92" s="86">
        <f t="shared" si="17"/>
        <v>833779.3339278027</v>
      </c>
      <c r="D92" s="86">
        <f>IF(G91=0,0,IF(G91&lt;BondCalculator!$B$12,G91+E92,BondCalculator!$B$12))</f>
        <v>9816.433869864442</v>
      </c>
      <c r="E92" s="86">
        <f>C92*BondCalculator!$B$5/12</f>
        <v>7121.865143966647</v>
      </c>
      <c r="F92" s="86">
        <f t="shared" si="12"/>
        <v>2694.568725897795</v>
      </c>
      <c r="G92" s="86">
        <f t="shared" si="13"/>
        <v>831084.7652019049</v>
      </c>
      <c r="H92" s="98">
        <f t="shared" si="14"/>
        <v>0.8310847652019049</v>
      </c>
      <c r="J92" s="88">
        <f t="shared" si="15"/>
        <v>572993.4184206743</v>
      </c>
      <c r="K92" s="88">
        <f>IF(N91=0,0,IF(N91&lt;BondCalculator!$B$12+BondCalculator!$B$7,N91+L92,BondCalculator!$B$12+BondCalculator!$B$7))</f>
        <v>11816.433869864442</v>
      </c>
      <c r="L92" s="88">
        <f>J92*BondCalculator!$B$5/12</f>
        <v>4894.318782343259</v>
      </c>
      <c r="M92" s="88">
        <f t="shared" si="16"/>
        <v>6922.115087521183</v>
      </c>
      <c r="N92" s="88">
        <f t="shared" si="9"/>
        <v>566071.3033331531</v>
      </c>
      <c r="P92" s="88">
        <f t="shared" si="10"/>
        <v>2227.5463616233883</v>
      </c>
      <c r="Q92" s="89">
        <f>-PV(BondCalculator!$B$9/12,B92,0,1,0)</f>
        <v>0.6415352196015913</v>
      </c>
      <c r="S92" s="90">
        <f t="shared" si="11"/>
        <v>1429.049444276786</v>
      </c>
    </row>
    <row r="93" spans="1:19" ht="15" customHeight="1">
      <c r="A93" s="85" t="s">
        <v>105</v>
      </c>
      <c r="B93" s="96">
        <v>90</v>
      </c>
      <c r="C93" s="86">
        <f t="shared" si="17"/>
        <v>831084.7652019049</v>
      </c>
      <c r="D93" s="86">
        <f>IF(G92=0,0,IF(G92&lt;BondCalculator!$B$12,G92+E93,BondCalculator!$B$12))</f>
        <v>9816.433869864442</v>
      </c>
      <c r="E93" s="86">
        <f>C93*BondCalculator!$B$5/12</f>
        <v>7098.849036099604</v>
      </c>
      <c r="F93" s="86">
        <f t="shared" si="12"/>
        <v>2717.5848337648385</v>
      </c>
      <c r="G93" s="86">
        <f t="shared" si="13"/>
        <v>828367.1803681401</v>
      </c>
      <c r="H93" s="98">
        <f t="shared" si="14"/>
        <v>0.82836718036814</v>
      </c>
      <c r="J93" s="88">
        <f t="shared" si="15"/>
        <v>566071.3033331531</v>
      </c>
      <c r="K93" s="88">
        <f>IF(N92=0,0,IF(N92&lt;BondCalculator!$B$12+BondCalculator!$B$7,N92+L93,BondCalculator!$B$12+BondCalculator!$B$7))</f>
        <v>11816.433869864442</v>
      </c>
      <c r="L93" s="88">
        <f>J93*BondCalculator!$B$5/12</f>
        <v>4835.1923826373495</v>
      </c>
      <c r="M93" s="88">
        <f t="shared" si="16"/>
        <v>6981.241487227093</v>
      </c>
      <c r="N93" s="88">
        <f t="shared" si="9"/>
        <v>559090.061845926</v>
      </c>
      <c r="P93" s="88">
        <f t="shared" si="10"/>
        <v>2263.6566534622543</v>
      </c>
      <c r="Q93" s="89">
        <f>-PV(BondCalculator!$B$9/12,B93,0,1,0)</f>
        <v>0.6383435020911358</v>
      </c>
      <c r="S93" s="90">
        <f t="shared" si="11"/>
        <v>1444.990515702996</v>
      </c>
    </row>
    <row r="94" spans="1:19" ht="15" customHeight="1">
      <c r="A94" s="85" t="s">
        <v>105</v>
      </c>
      <c r="B94" s="96">
        <v>91</v>
      </c>
      <c r="C94" s="86">
        <f t="shared" si="17"/>
        <v>828367.1803681401</v>
      </c>
      <c r="D94" s="86">
        <f>IF(G93=0,0,IF(G93&lt;BondCalculator!$B$12,G93+E94,BondCalculator!$B$12))</f>
        <v>9816.433869864442</v>
      </c>
      <c r="E94" s="86">
        <f>C94*BondCalculator!$B$5/12</f>
        <v>7075.6363323111955</v>
      </c>
      <c r="F94" s="86">
        <f t="shared" si="12"/>
        <v>2740.797537553247</v>
      </c>
      <c r="G94" s="86">
        <f t="shared" si="13"/>
        <v>825626.3828305869</v>
      </c>
      <c r="H94" s="98">
        <f t="shared" si="14"/>
        <v>0.8256263828305869</v>
      </c>
      <c r="J94" s="88">
        <f t="shared" si="15"/>
        <v>559090.061845926</v>
      </c>
      <c r="K94" s="88">
        <f>IF(N93=0,0,IF(N93&lt;BondCalculator!$B$12+BondCalculator!$B$7,N93+L94,BondCalculator!$B$12+BondCalculator!$B$7))</f>
        <v>11816.433869864442</v>
      </c>
      <c r="L94" s="88">
        <f>J94*BondCalculator!$B$5/12</f>
        <v>4775.560944933951</v>
      </c>
      <c r="M94" s="88">
        <f t="shared" si="16"/>
        <v>7040.8729249304915</v>
      </c>
      <c r="N94" s="88">
        <f t="shared" si="9"/>
        <v>552049.1889209955</v>
      </c>
      <c r="P94" s="88">
        <f t="shared" si="10"/>
        <v>2300.0753873772446</v>
      </c>
      <c r="Q94" s="89">
        <f>-PV(BondCalculator!$B$9/12,B94,0,1,0)</f>
        <v>0.6351676637722745</v>
      </c>
      <c r="S94" s="90">
        <f t="shared" si="11"/>
        <v>1460.9335103005137</v>
      </c>
    </row>
    <row r="95" spans="1:19" ht="15" customHeight="1">
      <c r="A95" s="85" t="s">
        <v>105</v>
      </c>
      <c r="B95" s="96">
        <v>92</v>
      </c>
      <c r="C95" s="86">
        <f t="shared" si="17"/>
        <v>825626.3828305869</v>
      </c>
      <c r="D95" s="86">
        <f>IF(G94=0,0,IF(G94&lt;BondCalculator!$B$12,G94+E95,BondCalculator!$B$12))</f>
        <v>9816.433869864442</v>
      </c>
      <c r="E95" s="86">
        <f>C95*BondCalculator!$B$5/12</f>
        <v>7052.2253533445955</v>
      </c>
      <c r="F95" s="86">
        <f t="shared" si="12"/>
        <v>2764.208516519847</v>
      </c>
      <c r="G95" s="86">
        <f t="shared" si="13"/>
        <v>822862.174314067</v>
      </c>
      <c r="H95" s="98">
        <f t="shared" si="14"/>
        <v>0.822862174314067</v>
      </c>
      <c r="J95" s="88">
        <f t="shared" si="15"/>
        <v>552049.1889209955</v>
      </c>
      <c r="K95" s="88">
        <f>IF(N94=0,0,IF(N94&lt;BondCalculator!$B$12+BondCalculator!$B$7,N94+L95,BondCalculator!$B$12+BondCalculator!$B$7))</f>
        <v>11816.433869864442</v>
      </c>
      <c r="L95" s="88">
        <f>J95*BondCalculator!$B$5/12</f>
        <v>4715.420155366836</v>
      </c>
      <c r="M95" s="88">
        <f t="shared" si="16"/>
        <v>7101.013714497606</v>
      </c>
      <c r="N95" s="88">
        <f t="shared" si="9"/>
        <v>544948.1752064979</v>
      </c>
      <c r="P95" s="88">
        <f t="shared" si="10"/>
        <v>2336.8051979777592</v>
      </c>
      <c r="Q95" s="89">
        <f>-PV(BondCalculator!$B$9/12,B95,0,1,0)</f>
        <v>0.6320076256440543</v>
      </c>
      <c r="S95" s="90">
        <f t="shared" si="11"/>
        <v>1476.8787047666078</v>
      </c>
    </row>
    <row r="96" spans="1:19" ht="15" customHeight="1">
      <c r="A96" s="85" t="s">
        <v>105</v>
      </c>
      <c r="B96" s="96">
        <v>93</v>
      </c>
      <c r="C96" s="86">
        <f t="shared" si="17"/>
        <v>822862.174314067</v>
      </c>
      <c r="D96" s="86">
        <f>IF(G95=0,0,IF(G95&lt;BondCalculator!$B$12,G95+E96,BondCalculator!$B$12))</f>
        <v>9816.433869864442</v>
      </c>
      <c r="E96" s="86">
        <f>C96*BondCalculator!$B$5/12</f>
        <v>7028.614405599322</v>
      </c>
      <c r="F96" s="86">
        <f t="shared" si="12"/>
        <v>2787.8194642651206</v>
      </c>
      <c r="G96" s="86">
        <f t="shared" si="13"/>
        <v>820074.3548498019</v>
      </c>
      <c r="H96" s="98">
        <f t="shared" si="14"/>
        <v>0.8200743548498018</v>
      </c>
      <c r="J96" s="88">
        <f t="shared" si="15"/>
        <v>544948.1752064979</v>
      </c>
      <c r="K96" s="88">
        <f>IF(N95=0,0,IF(N95&lt;BondCalculator!$B$12+BondCalculator!$B$7,N95+L96,BondCalculator!$B$12+BondCalculator!$B$7))</f>
        <v>11816.433869864442</v>
      </c>
      <c r="L96" s="88">
        <f>J96*BondCalculator!$B$5/12</f>
        <v>4654.765663222169</v>
      </c>
      <c r="M96" s="88">
        <f t="shared" si="16"/>
        <v>7161.668206642274</v>
      </c>
      <c r="N96" s="88">
        <f t="shared" si="9"/>
        <v>537786.5069998556</v>
      </c>
      <c r="P96" s="88">
        <f t="shared" si="10"/>
        <v>2373.848742377153</v>
      </c>
      <c r="Q96" s="89">
        <f>-PV(BondCalculator!$B$9/12,B96,0,1,0)</f>
        <v>0.6288633090985616</v>
      </c>
      <c r="S96" s="90">
        <f t="shared" si="11"/>
        <v>1492.8263754307552</v>
      </c>
    </row>
    <row r="97" spans="1:19" ht="15" customHeight="1">
      <c r="A97" s="85" t="s">
        <v>105</v>
      </c>
      <c r="B97" s="96">
        <v>94</v>
      </c>
      <c r="C97" s="86">
        <f t="shared" si="17"/>
        <v>820074.3548498019</v>
      </c>
      <c r="D97" s="86">
        <f>IF(G96=0,0,IF(G96&lt;BondCalculator!$B$12,G96+E97,BondCalculator!$B$12))</f>
        <v>9816.433869864442</v>
      </c>
      <c r="E97" s="86">
        <f>C97*BondCalculator!$B$5/12</f>
        <v>7004.801781008723</v>
      </c>
      <c r="F97" s="86">
        <f t="shared" si="12"/>
        <v>2811.6320888557193</v>
      </c>
      <c r="G97" s="86">
        <f t="shared" si="13"/>
        <v>817262.7227609461</v>
      </c>
      <c r="H97" s="98">
        <f t="shared" si="14"/>
        <v>0.8172627227609461</v>
      </c>
      <c r="J97" s="88">
        <f t="shared" si="15"/>
        <v>537786.5069998556</v>
      </c>
      <c r="K97" s="88">
        <f>IF(N96=0,0,IF(N96&lt;BondCalculator!$B$12+BondCalculator!$B$7,N96+L97,BondCalculator!$B$12+BondCalculator!$B$7))</f>
        <v>11816.433869864442</v>
      </c>
      <c r="L97" s="88">
        <f>J97*BondCalculator!$B$5/12</f>
        <v>4593.593080623767</v>
      </c>
      <c r="M97" s="88">
        <f t="shared" si="16"/>
        <v>7222.840789240676</v>
      </c>
      <c r="N97" s="88">
        <f t="shared" si="9"/>
        <v>530563.666210615</v>
      </c>
      <c r="P97" s="88">
        <f t="shared" si="10"/>
        <v>2411.2087003849565</v>
      </c>
      <c r="Q97" s="89">
        <f>-PV(BondCalculator!$B$9/12,B97,0,1,0)</f>
        <v>0.6257346359189669</v>
      </c>
      <c r="S97" s="90">
        <f t="shared" si="11"/>
        <v>1508.7767982600262</v>
      </c>
    </row>
    <row r="98" spans="1:19" ht="15" customHeight="1">
      <c r="A98" s="85" t="s">
        <v>105</v>
      </c>
      <c r="B98" s="96">
        <v>95</v>
      </c>
      <c r="C98" s="86">
        <f t="shared" si="17"/>
        <v>817262.7227609461</v>
      </c>
      <c r="D98" s="86">
        <f>IF(G97=0,0,IF(G97&lt;BondCalculator!$B$12,G97+E98,BondCalculator!$B$12))</f>
        <v>9816.433869864442</v>
      </c>
      <c r="E98" s="86">
        <f>C98*BondCalculator!$B$5/12</f>
        <v>6980.785756916414</v>
      </c>
      <c r="F98" s="86">
        <f t="shared" si="12"/>
        <v>2835.648112948028</v>
      </c>
      <c r="G98" s="86">
        <f t="shared" si="13"/>
        <v>814427.0746479981</v>
      </c>
      <c r="H98" s="98">
        <f t="shared" si="14"/>
        <v>0.8144270746479981</v>
      </c>
      <c r="J98" s="88">
        <f t="shared" si="15"/>
        <v>530563.666210615</v>
      </c>
      <c r="K98" s="88">
        <f>IF(N97=0,0,IF(N97&lt;BondCalculator!$B$12+BondCalculator!$B$7,N97+L98,BondCalculator!$B$12+BondCalculator!$B$7))</f>
        <v>11816.433869864442</v>
      </c>
      <c r="L98" s="88">
        <f>J98*BondCalculator!$B$5/12</f>
        <v>4531.897982215669</v>
      </c>
      <c r="M98" s="88">
        <f t="shared" si="16"/>
        <v>7284.5358876487735</v>
      </c>
      <c r="N98" s="88">
        <f t="shared" si="9"/>
        <v>523279.1303229662</v>
      </c>
      <c r="P98" s="88">
        <f t="shared" si="10"/>
        <v>2448.8877747007455</v>
      </c>
      <c r="Q98" s="89">
        <f>-PV(BondCalculator!$B$9/12,B98,0,1,0)</f>
        <v>0.6226215282775792</v>
      </c>
      <c r="S98" s="90">
        <f t="shared" si="11"/>
        <v>1524.7302488644582</v>
      </c>
    </row>
    <row r="99" spans="1:19" ht="15" customHeight="1">
      <c r="A99" s="85" t="s">
        <v>105</v>
      </c>
      <c r="B99" s="96">
        <v>96</v>
      </c>
      <c r="C99" s="86">
        <f t="shared" si="17"/>
        <v>814427.0746479981</v>
      </c>
      <c r="D99" s="86">
        <f>IF(G98=0,0,IF(G98&lt;BondCalculator!$B$12,G98+E99,BondCalculator!$B$12))</f>
        <v>9816.433869864442</v>
      </c>
      <c r="E99" s="86">
        <f>C99*BondCalculator!$B$5/12</f>
        <v>6956.5645959516505</v>
      </c>
      <c r="F99" s="86">
        <f t="shared" si="12"/>
        <v>2859.869273912792</v>
      </c>
      <c r="G99" s="86">
        <f t="shared" si="13"/>
        <v>811567.2053740853</v>
      </c>
      <c r="H99" s="98">
        <f t="shared" si="14"/>
        <v>0.8115672053740853</v>
      </c>
      <c r="J99" s="88">
        <f t="shared" si="15"/>
        <v>523279.1303229662</v>
      </c>
      <c r="K99" s="88">
        <f>IF(N98=0,0,IF(N98&lt;BondCalculator!$B$12+BondCalculator!$B$7,N98+L99,BondCalculator!$B$12+BondCalculator!$B$7))</f>
        <v>11816.433869864442</v>
      </c>
      <c r="L99" s="88">
        <f>J99*BondCalculator!$B$5/12</f>
        <v>4469.675904842003</v>
      </c>
      <c r="M99" s="88">
        <f t="shared" si="16"/>
        <v>7346.75796502244</v>
      </c>
      <c r="N99" s="88">
        <f t="shared" si="9"/>
        <v>515932.37235794374</v>
      </c>
      <c r="P99" s="88">
        <f t="shared" si="10"/>
        <v>2486.888691109648</v>
      </c>
      <c r="Q99" s="89">
        <f>-PV(BondCalculator!$B$9/12,B99,0,1,0)</f>
        <v>0.6195239087339097</v>
      </c>
      <c r="S99" s="90">
        <f t="shared" si="11"/>
        <v>1540.6870025024057</v>
      </c>
    </row>
    <row r="100" spans="1:19" ht="15" customHeight="1">
      <c r="A100" s="85" t="s">
        <v>106</v>
      </c>
      <c r="B100" s="96">
        <v>97</v>
      </c>
      <c r="C100" s="86">
        <f t="shared" si="17"/>
        <v>811567.2053740853</v>
      </c>
      <c r="D100" s="86">
        <f>IF(G99=0,0,IF(G99&lt;BondCalculator!$B$12,G99+E100,BondCalculator!$B$12))</f>
        <v>9816.433869864442</v>
      </c>
      <c r="E100" s="86">
        <f>C100*BondCalculator!$B$5/12</f>
        <v>6932.136545903645</v>
      </c>
      <c r="F100" s="86">
        <f t="shared" si="12"/>
        <v>2884.2973239607973</v>
      </c>
      <c r="G100" s="86">
        <f t="shared" si="13"/>
        <v>808682.9080501245</v>
      </c>
      <c r="H100" s="98">
        <f t="shared" si="14"/>
        <v>0.8086829080501245</v>
      </c>
      <c r="J100" s="88">
        <f t="shared" si="15"/>
        <v>515932.37235794374</v>
      </c>
      <c r="K100" s="88">
        <f>IF(N99=0,0,IF(N99&lt;BondCalculator!$B$12+BondCalculator!$B$7,N99+L100,BondCalculator!$B$12+BondCalculator!$B$7))</f>
        <v>11816.433869864442</v>
      </c>
      <c r="L100" s="88">
        <f>J100*BondCalculator!$B$5/12</f>
        <v>4406.922347224102</v>
      </c>
      <c r="M100" s="88">
        <f t="shared" si="16"/>
        <v>7409.51152264034</v>
      </c>
      <c r="N100" s="88">
        <f t="shared" si="9"/>
        <v>508522.8608353034</v>
      </c>
      <c r="P100" s="88">
        <f t="shared" si="10"/>
        <v>2525.214198679543</v>
      </c>
      <c r="Q100" s="89">
        <f>-PV(BondCalculator!$B$9/12,B100,0,1,0)</f>
        <v>0.616441700232746</v>
      </c>
      <c r="S100" s="90">
        <f t="shared" si="11"/>
        <v>1556.6473340858888</v>
      </c>
    </row>
    <row r="101" spans="1:19" ht="15" customHeight="1">
      <c r="A101" s="85" t="s">
        <v>106</v>
      </c>
      <c r="B101" s="96">
        <v>98</v>
      </c>
      <c r="C101" s="86">
        <f t="shared" si="17"/>
        <v>808682.9080501245</v>
      </c>
      <c r="D101" s="86">
        <f>IF(G100=0,0,IF(G100&lt;BondCalculator!$B$12,G100+E101,BondCalculator!$B$12))</f>
        <v>9816.433869864442</v>
      </c>
      <c r="E101" s="86">
        <f>C101*BondCalculator!$B$5/12</f>
        <v>6907.499839594813</v>
      </c>
      <c r="F101" s="86">
        <f t="shared" si="12"/>
        <v>2908.934030269629</v>
      </c>
      <c r="G101" s="86">
        <f t="shared" si="13"/>
        <v>805773.9740198549</v>
      </c>
      <c r="H101" s="98">
        <f t="shared" si="14"/>
        <v>0.805773974019855</v>
      </c>
      <c r="J101" s="88">
        <f t="shared" si="15"/>
        <v>508522.8608353034</v>
      </c>
      <c r="K101" s="88">
        <f>IF(N100=0,0,IF(N100&lt;BondCalculator!$B$12+BondCalculator!$B$7,N100+L101,BondCalculator!$B$12+BondCalculator!$B$7))</f>
        <v>11816.433869864442</v>
      </c>
      <c r="L101" s="88">
        <f>J101*BondCalculator!$B$5/12</f>
        <v>4343.632769634883</v>
      </c>
      <c r="M101" s="88">
        <f t="shared" si="16"/>
        <v>7472.80110022956</v>
      </c>
      <c r="N101" s="88">
        <f t="shared" si="9"/>
        <v>501050.0597350738</v>
      </c>
      <c r="P101" s="88">
        <f t="shared" si="10"/>
        <v>2563.8670699599306</v>
      </c>
      <c r="Q101" s="89">
        <f>-PV(BondCalculator!$B$9/12,B101,0,1,0)</f>
        <v>0.6133748261022349</v>
      </c>
      <c r="S101" s="90">
        <f t="shared" si="11"/>
        <v>1572.611518185919</v>
      </c>
    </row>
    <row r="102" spans="1:19" ht="15" customHeight="1">
      <c r="A102" s="85" t="s">
        <v>106</v>
      </c>
      <c r="B102" s="96">
        <v>99</v>
      </c>
      <c r="C102" s="86">
        <f t="shared" si="17"/>
        <v>805773.9740198549</v>
      </c>
      <c r="D102" s="86">
        <f>IF(G101=0,0,IF(G101&lt;BondCalculator!$B$12,G101+E102,BondCalculator!$B$12))</f>
        <v>9816.433869864442</v>
      </c>
      <c r="E102" s="86">
        <f>C102*BondCalculator!$B$5/12</f>
        <v>6882.652694752927</v>
      </c>
      <c r="F102" s="86">
        <f t="shared" si="12"/>
        <v>2933.781175111515</v>
      </c>
      <c r="G102" s="86">
        <f t="shared" si="13"/>
        <v>802840.1928447434</v>
      </c>
      <c r="H102" s="98">
        <f t="shared" si="14"/>
        <v>0.8028401928447434</v>
      </c>
      <c r="J102" s="88">
        <f t="shared" si="15"/>
        <v>501050.0597350738</v>
      </c>
      <c r="K102" s="88">
        <f>IF(N101=0,0,IF(N101&lt;BondCalculator!$B$12+BondCalculator!$B$7,N101+L102,BondCalculator!$B$12+BondCalculator!$B$7))</f>
        <v>11816.433869864442</v>
      </c>
      <c r="L102" s="88">
        <f>J102*BondCalculator!$B$5/12</f>
        <v>4279.802593570422</v>
      </c>
      <c r="M102" s="88">
        <f t="shared" si="16"/>
        <v>7536.631276294021</v>
      </c>
      <c r="N102" s="88">
        <f t="shared" si="9"/>
        <v>493513.4284587798</v>
      </c>
      <c r="P102" s="88">
        <f t="shared" si="10"/>
        <v>2602.8501011825056</v>
      </c>
      <c r="Q102" s="89">
        <f>-PV(BondCalculator!$B$9/12,B102,0,1,0)</f>
        <v>0.6103232100519751</v>
      </c>
      <c r="S102" s="90">
        <f t="shared" si="11"/>
        <v>1588.579829037815</v>
      </c>
    </row>
    <row r="103" spans="1:19" ht="15" customHeight="1">
      <c r="A103" s="85" t="s">
        <v>106</v>
      </c>
      <c r="B103" s="96">
        <v>100</v>
      </c>
      <c r="C103" s="86">
        <f t="shared" si="17"/>
        <v>802840.1928447434</v>
      </c>
      <c r="D103" s="86">
        <f>IF(G102=0,0,IF(G102&lt;BondCalculator!$B$12,G102+E103,BondCalculator!$B$12))</f>
        <v>9816.433869864442</v>
      </c>
      <c r="E103" s="86">
        <f>C103*BondCalculator!$B$5/12</f>
        <v>6857.593313882183</v>
      </c>
      <c r="F103" s="86">
        <f t="shared" si="12"/>
        <v>2958.8405559822595</v>
      </c>
      <c r="G103" s="86">
        <f t="shared" si="13"/>
        <v>799881.3522887611</v>
      </c>
      <c r="H103" s="98">
        <f t="shared" si="14"/>
        <v>0.799881352288761</v>
      </c>
      <c r="J103" s="88">
        <f t="shared" si="15"/>
        <v>493513.4284587798</v>
      </c>
      <c r="K103" s="88">
        <f>IF(N102=0,0,IF(N102&lt;BondCalculator!$B$12+BondCalculator!$B$7,N102+L103,BondCalculator!$B$12+BondCalculator!$B$7))</f>
        <v>11816.433869864442</v>
      </c>
      <c r="L103" s="88">
        <f>J103*BondCalculator!$B$5/12</f>
        <v>4215.427201418744</v>
      </c>
      <c r="M103" s="88">
        <f t="shared" si="16"/>
        <v>7601.006668445699</v>
      </c>
      <c r="N103" s="88">
        <f t="shared" si="9"/>
        <v>485912.4217903341</v>
      </c>
      <c r="P103" s="88">
        <f t="shared" si="10"/>
        <v>2642.1661124634393</v>
      </c>
      <c r="Q103" s="89">
        <f>-PV(BondCalculator!$B$9/12,B103,0,1,0)</f>
        <v>0.6072867761711197</v>
      </c>
      <c r="S103" s="90">
        <f t="shared" si="11"/>
        <v>1604.552540546502</v>
      </c>
    </row>
    <row r="104" spans="1:19" ht="15" customHeight="1">
      <c r="A104" s="85" t="s">
        <v>106</v>
      </c>
      <c r="B104" s="96">
        <v>101</v>
      </c>
      <c r="C104" s="86">
        <f t="shared" si="17"/>
        <v>799881.3522887611</v>
      </c>
      <c r="D104" s="86">
        <f>IF(G103=0,0,IF(G103&lt;BondCalculator!$B$12,G103+E104,BondCalculator!$B$12))</f>
        <v>9816.433869864442</v>
      </c>
      <c r="E104" s="86">
        <f>C104*BondCalculator!$B$5/12</f>
        <v>6832.319884133168</v>
      </c>
      <c r="F104" s="86">
        <f t="shared" si="12"/>
        <v>2984.1139857312746</v>
      </c>
      <c r="G104" s="86">
        <f t="shared" si="13"/>
        <v>796897.2383030298</v>
      </c>
      <c r="H104" s="98">
        <f t="shared" si="14"/>
        <v>0.7968972383030298</v>
      </c>
      <c r="J104" s="88">
        <f t="shared" si="15"/>
        <v>485912.4217903341</v>
      </c>
      <c r="K104" s="88">
        <f>IF(N103=0,0,IF(N103&lt;BondCalculator!$B$12+BondCalculator!$B$7,N103+L104,BondCalculator!$B$12+BondCalculator!$B$7))</f>
        <v>11816.433869864442</v>
      </c>
      <c r="L104" s="88">
        <f>J104*BondCalculator!$B$5/12</f>
        <v>4150.50193612577</v>
      </c>
      <c r="M104" s="88">
        <f t="shared" si="16"/>
        <v>7665.931933738672</v>
      </c>
      <c r="N104" s="88">
        <f t="shared" si="9"/>
        <v>478246.4898565954</v>
      </c>
      <c r="P104" s="88">
        <f t="shared" si="10"/>
        <v>2681.8179480073977</v>
      </c>
      <c r="Q104" s="89">
        <f>-PV(BondCalculator!$B$9/12,B104,0,1,0)</f>
        <v>0.6042654489264874</v>
      </c>
      <c r="S104" s="90">
        <f t="shared" si="11"/>
        <v>1620.5299262918013</v>
      </c>
    </row>
    <row r="105" spans="1:19" ht="15" customHeight="1">
      <c r="A105" s="85" t="s">
        <v>106</v>
      </c>
      <c r="B105" s="96">
        <v>102</v>
      </c>
      <c r="C105" s="86">
        <f t="shared" si="17"/>
        <v>796897.2383030298</v>
      </c>
      <c r="D105" s="86">
        <f>IF(G104=0,0,IF(G104&lt;BondCalculator!$B$12,G104+E105,BondCalculator!$B$12))</f>
        <v>9816.433869864442</v>
      </c>
      <c r="E105" s="86">
        <f>C105*BondCalculator!$B$5/12</f>
        <v>6806.830577171712</v>
      </c>
      <c r="F105" s="86">
        <f t="shared" si="12"/>
        <v>3009.60329269273</v>
      </c>
      <c r="G105" s="86">
        <f t="shared" si="13"/>
        <v>793887.6350103371</v>
      </c>
      <c r="H105" s="98">
        <f t="shared" si="14"/>
        <v>0.7938876350103371</v>
      </c>
      <c r="J105" s="88">
        <f t="shared" si="15"/>
        <v>478246.4898565954</v>
      </c>
      <c r="K105" s="88">
        <f>IF(N104=0,0,IF(N104&lt;BondCalculator!$B$12+BondCalculator!$B$7,N104+L105,BondCalculator!$B$12+BondCalculator!$B$7))</f>
        <v>11816.433869864442</v>
      </c>
      <c r="L105" s="88">
        <f>J105*BondCalculator!$B$5/12</f>
        <v>4085.022100858419</v>
      </c>
      <c r="M105" s="88">
        <f t="shared" si="16"/>
        <v>7731.411769006023</v>
      </c>
      <c r="N105" s="88">
        <f t="shared" si="9"/>
        <v>470515.07808758935</v>
      </c>
      <c r="P105" s="88">
        <f t="shared" si="10"/>
        <v>2721.8084763132933</v>
      </c>
      <c r="Q105" s="89">
        <f>-PV(BondCalculator!$B$9/12,B105,0,1,0)</f>
        <v>0.601259153160684</v>
      </c>
      <c r="S105" s="90">
        <f t="shared" si="11"/>
        <v>1636.5122595337025</v>
      </c>
    </row>
    <row r="106" spans="1:19" ht="15" customHeight="1">
      <c r="A106" s="85" t="s">
        <v>106</v>
      </c>
      <c r="B106" s="96">
        <v>103</v>
      </c>
      <c r="C106" s="86">
        <f t="shared" si="17"/>
        <v>793887.6350103371</v>
      </c>
      <c r="D106" s="86">
        <f>IF(G105=0,0,IF(G105&lt;BondCalculator!$B$12,G105+E106,BondCalculator!$B$12))</f>
        <v>9816.433869864442</v>
      </c>
      <c r="E106" s="86">
        <f>C106*BondCalculator!$B$5/12</f>
        <v>6781.123549046629</v>
      </c>
      <c r="F106" s="86">
        <f t="shared" si="12"/>
        <v>3035.3103208178136</v>
      </c>
      <c r="G106" s="86">
        <f t="shared" si="13"/>
        <v>790852.3246895192</v>
      </c>
      <c r="H106" s="98">
        <f t="shared" si="14"/>
        <v>0.7908523246895193</v>
      </c>
      <c r="J106" s="88">
        <f t="shared" si="15"/>
        <v>470515.07808758935</v>
      </c>
      <c r="K106" s="88">
        <f>IF(N105=0,0,IF(N105&lt;BondCalculator!$B$12+BondCalculator!$B$7,N105+L106,BondCalculator!$B$12+BondCalculator!$B$7))</f>
        <v>11816.433869864442</v>
      </c>
      <c r="L106" s="88">
        <f>J106*BondCalculator!$B$5/12</f>
        <v>4018.982958664825</v>
      </c>
      <c r="M106" s="88">
        <f t="shared" si="16"/>
        <v>7797.450911199618</v>
      </c>
      <c r="N106" s="88">
        <f t="shared" si="9"/>
        <v>462717.62717638974</v>
      </c>
      <c r="P106" s="88">
        <f t="shared" si="10"/>
        <v>2762.1405903818036</v>
      </c>
      <c r="Q106" s="89">
        <f>-PV(BondCalculator!$B$9/12,B106,0,1,0)</f>
        <v>0.5982678140902329</v>
      </c>
      <c r="S106" s="90">
        <f t="shared" si="11"/>
        <v>1652.499813217627</v>
      </c>
    </row>
    <row r="107" spans="1:19" ht="15" customHeight="1">
      <c r="A107" s="85" t="s">
        <v>106</v>
      </c>
      <c r="B107" s="96">
        <v>104</v>
      </c>
      <c r="C107" s="86">
        <f t="shared" si="17"/>
        <v>790852.3246895192</v>
      </c>
      <c r="D107" s="86">
        <f>IF(G106=0,0,IF(G106&lt;BondCalculator!$B$12,G106+E107,BondCalculator!$B$12))</f>
        <v>9816.433869864442</v>
      </c>
      <c r="E107" s="86">
        <f>C107*BondCalculator!$B$5/12</f>
        <v>6755.19694005631</v>
      </c>
      <c r="F107" s="86">
        <f t="shared" si="12"/>
        <v>3061.236929808132</v>
      </c>
      <c r="G107" s="86">
        <f t="shared" si="13"/>
        <v>787791.0877597111</v>
      </c>
      <c r="H107" s="98">
        <f t="shared" si="14"/>
        <v>0.7877910877597111</v>
      </c>
      <c r="J107" s="88">
        <f t="shared" si="15"/>
        <v>462717.62717638974</v>
      </c>
      <c r="K107" s="88">
        <f>IF(N106=0,0,IF(N106&lt;BondCalculator!$B$12+BondCalculator!$B$7,N106+L107,BondCalculator!$B$12+BondCalculator!$B$7))</f>
        <v>11816.433869864442</v>
      </c>
      <c r="L107" s="88">
        <f>J107*BondCalculator!$B$5/12</f>
        <v>3952.379732131662</v>
      </c>
      <c r="M107" s="88">
        <f t="shared" si="16"/>
        <v>7864.054137732781</v>
      </c>
      <c r="N107" s="88">
        <f t="shared" si="9"/>
        <v>454853.57303865696</v>
      </c>
      <c r="P107" s="88">
        <f t="shared" si="10"/>
        <v>2802.8172079246483</v>
      </c>
      <c r="Q107" s="89">
        <f>-PV(BondCalculator!$B$9/12,B107,0,1,0)</f>
        <v>0.5952913573037144</v>
      </c>
      <c r="S107" s="90">
        <f t="shared" si="11"/>
        <v>1668.492859979671</v>
      </c>
    </row>
    <row r="108" spans="1:19" ht="15" customHeight="1">
      <c r="A108" s="85" t="s">
        <v>106</v>
      </c>
      <c r="B108" s="96">
        <v>105</v>
      </c>
      <c r="C108" s="86">
        <f t="shared" si="17"/>
        <v>787791.0877597111</v>
      </c>
      <c r="D108" s="86">
        <f>IF(G107=0,0,IF(G107&lt;BondCalculator!$B$12,G107+E108,BondCalculator!$B$12))</f>
        <v>9816.433869864442</v>
      </c>
      <c r="E108" s="86">
        <f>C108*BondCalculator!$B$5/12</f>
        <v>6729.048874614199</v>
      </c>
      <c r="F108" s="86">
        <f t="shared" si="12"/>
        <v>3087.3849952502433</v>
      </c>
      <c r="G108" s="86">
        <f t="shared" si="13"/>
        <v>784703.7027644608</v>
      </c>
      <c r="H108" s="98">
        <f t="shared" si="14"/>
        <v>0.7847037027644608</v>
      </c>
      <c r="J108" s="88">
        <f t="shared" si="15"/>
        <v>454853.57303865696</v>
      </c>
      <c r="K108" s="88">
        <f>IF(N107=0,0,IF(N107&lt;BondCalculator!$B$12+BondCalculator!$B$7,N107+L108,BondCalculator!$B$12+BondCalculator!$B$7))</f>
        <v>11816.433869864442</v>
      </c>
      <c r="L108" s="88">
        <f>J108*BondCalculator!$B$5/12</f>
        <v>3885.2076030385283</v>
      </c>
      <c r="M108" s="88">
        <f t="shared" si="16"/>
        <v>7931.226266825914</v>
      </c>
      <c r="N108" s="88">
        <f t="shared" si="9"/>
        <v>446922.34677183104</v>
      </c>
      <c r="P108" s="88">
        <f t="shared" si="10"/>
        <v>2843.841271575671</v>
      </c>
      <c r="Q108" s="89">
        <f>-PV(BondCalculator!$B$9/12,B108,0,1,0)</f>
        <v>0.592329708759915</v>
      </c>
      <c r="S108" s="90">
        <f t="shared" si="11"/>
        <v>1684.4916721518434</v>
      </c>
    </row>
    <row r="109" spans="1:19" ht="15" customHeight="1">
      <c r="A109" s="85" t="s">
        <v>106</v>
      </c>
      <c r="B109" s="96">
        <v>106</v>
      </c>
      <c r="C109" s="86">
        <f t="shared" si="17"/>
        <v>784703.7027644608</v>
      </c>
      <c r="D109" s="86">
        <f>IF(G108=0,0,IF(G108&lt;BondCalculator!$B$12,G108+E109,BondCalculator!$B$12))</f>
        <v>9816.433869864442</v>
      </c>
      <c r="E109" s="86">
        <f>C109*BondCalculator!$B$5/12</f>
        <v>6702.677461113103</v>
      </c>
      <c r="F109" s="86">
        <f t="shared" si="12"/>
        <v>3113.756408751339</v>
      </c>
      <c r="G109" s="86">
        <f t="shared" si="13"/>
        <v>781589.9463557095</v>
      </c>
      <c r="H109" s="98">
        <f t="shared" si="14"/>
        <v>0.7815899463557094</v>
      </c>
      <c r="J109" s="88">
        <f t="shared" si="15"/>
        <v>446922.34677183104</v>
      </c>
      <c r="K109" s="88">
        <f>IF(N108=0,0,IF(N108&lt;BondCalculator!$B$12+BondCalculator!$B$7,N108+L109,BondCalculator!$B$12+BondCalculator!$B$7))</f>
        <v>11816.433869864442</v>
      </c>
      <c r="L109" s="88">
        <f>J109*BondCalculator!$B$5/12</f>
        <v>3817.46171200939</v>
      </c>
      <c r="M109" s="88">
        <f t="shared" si="16"/>
        <v>7998.9721578550525</v>
      </c>
      <c r="N109" s="88">
        <f t="shared" si="9"/>
        <v>438923.374613976</v>
      </c>
      <c r="P109" s="88">
        <f t="shared" si="10"/>
        <v>2885.2157491037133</v>
      </c>
      <c r="Q109" s="89">
        <f>-PV(BondCalculator!$B$9/12,B109,0,1,0)</f>
        <v>0.5893827947859851</v>
      </c>
      <c r="S109" s="90">
        <f t="shared" si="11"/>
        <v>1700.4965217672861</v>
      </c>
    </row>
    <row r="110" spans="1:19" ht="15" customHeight="1">
      <c r="A110" s="85" t="s">
        <v>106</v>
      </c>
      <c r="B110" s="96">
        <v>107</v>
      </c>
      <c r="C110" s="86">
        <f t="shared" si="17"/>
        <v>781589.9463557095</v>
      </c>
      <c r="D110" s="86">
        <f>IF(G109=0,0,IF(G109&lt;BondCalculator!$B$12,G109+E110,BondCalculator!$B$12))</f>
        <v>9816.433869864442</v>
      </c>
      <c r="E110" s="86">
        <f>C110*BondCalculator!$B$5/12</f>
        <v>6676.080791788351</v>
      </c>
      <c r="F110" s="86">
        <f t="shared" si="12"/>
        <v>3140.353078076091</v>
      </c>
      <c r="G110" s="86">
        <f t="shared" si="13"/>
        <v>778449.5932776334</v>
      </c>
      <c r="H110" s="98">
        <f t="shared" si="14"/>
        <v>0.7784495932776334</v>
      </c>
      <c r="J110" s="88">
        <f t="shared" si="15"/>
        <v>438923.374613976</v>
      </c>
      <c r="K110" s="88">
        <f>IF(N109=0,0,IF(N109&lt;BondCalculator!$B$12+BondCalculator!$B$7,N109+L110,BondCalculator!$B$12+BondCalculator!$B$7))</f>
        <v>11816.433869864442</v>
      </c>
      <c r="L110" s="88">
        <f>J110*BondCalculator!$B$5/12</f>
        <v>3749.137158161045</v>
      </c>
      <c r="M110" s="88">
        <f t="shared" si="16"/>
        <v>8067.296711703397</v>
      </c>
      <c r="N110" s="88">
        <f t="shared" si="9"/>
        <v>430856.0779022726</v>
      </c>
      <c r="P110" s="88">
        <f t="shared" si="10"/>
        <v>2926.943633627306</v>
      </c>
      <c r="Q110" s="89">
        <f>-PV(BondCalculator!$B$9/12,B110,0,1,0)</f>
        <v>0.5864505420756071</v>
      </c>
      <c r="S110" s="90">
        <f t="shared" si="11"/>
        <v>1716.5076805654808</v>
      </c>
    </row>
    <row r="111" spans="1:19" ht="15" customHeight="1">
      <c r="A111" s="85" t="s">
        <v>106</v>
      </c>
      <c r="B111" s="96">
        <v>108</v>
      </c>
      <c r="C111" s="86">
        <f t="shared" si="17"/>
        <v>778449.5932776334</v>
      </c>
      <c r="D111" s="86">
        <f>IF(G110=0,0,IF(G110&lt;BondCalculator!$B$12,G110+E111,BondCalculator!$B$12))</f>
        <v>9816.433869864442</v>
      </c>
      <c r="E111" s="86">
        <f>C111*BondCalculator!$B$5/12</f>
        <v>6649.256942579785</v>
      </c>
      <c r="F111" s="86">
        <f t="shared" si="12"/>
        <v>3167.1769272846577</v>
      </c>
      <c r="G111" s="86">
        <f t="shared" si="13"/>
        <v>775282.4163503487</v>
      </c>
      <c r="H111" s="98">
        <f t="shared" si="14"/>
        <v>0.7752824163503488</v>
      </c>
      <c r="J111" s="88">
        <f t="shared" si="15"/>
        <v>430856.0779022726</v>
      </c>
      <c r="K111" s="88">
        <f>IF(N110=0,0,IF(N110&lt;BondCalculator!$B$12+BondCalculator!$B$7,N110+L111,BondCalculator!$B$12+BondCalculator!$B$7))</f>
        <v>11816.433869864442</v>
      </c>
      <c r="L111" s="88">
        <f>J111*BondCalculator!$B$5/12</f>
        <v>3680.2289987485783</v>
      </c>
      <c r="M111" s="88">
        <f t="shared" si="16"/>
        <v>8136.204871115864</v>
      </c>
      <c r="N111" s="88">
        <f t="shared" si="9"/>
        <v>422719.8730311567</v>
      </c>
      <c r="P111" s="88">
        <f t="shared" si="10"/>
        <v>2969.0279438312064</v>
      </c>
      <c r="Q111" s="89">
        <f>-PV(BondCalculator!$B$9/12,B111,0,1,0)</f>
        <v>0.5835328776871714</v>
      </c>
      <c r="S111" s="90">
        <f t="shared" si="11"/>
        <v>1732.5254199974495</v>
      </c>
    </row>
    <row r="112" spans="1:19" ht="15" customHeight="1">
      <c r="A112" s="85" t="s">
        <v>107</v>
      </c>
      <c r="B112" s="96">
        <v>109</v>
      </c>
      <c r="C112" s="86">
        <f t="shared" si="17"/>
        <v>775282.4163503487</v>
      </c>
      <c r="D112" s="86">
        <f>IF(G111=0,0,IF(G111&lt;BondCalculator!$B$12,G111+E112,BondCalculator!$B$12))</f>
        <v>9816.433869864442</v>
      </c>
      <c r="E112" s="86">
        <f>C112*BondCalculator!$B$5/12</f>
        <v>6622.203972992561</v>
      </c>
      <c r="F112" s="86">
        <f t="shared" si="12"/>
        <v>3194.2298968718815</v>
      </c>
      <c r="G112" s="86">
        <f t="shared" si="13"/>
        <v>772088.1864534769</v>
      </c>
      <c r="H112" s="98">
        <f t="shared" si="14"/>
        <v>0.7720881864534769</v>
      </c>
      <c r="J112" s="88">
        <f t="shared" si="15"/>
        <v>422719.8730311567</v>
      </c>
      <c r="K112" s="88">
        <f>IF(N111=0,0,IF(N111&lt;BondCalculator!$B$12+BondCalculator!$B$7,N111+L112,BondCalculator!$B$12+BondCalculator!$B$7))</f>
        <v>11816.433869864442</v>
      </c>
      <c r="L112" s="88">
        <f>J112*BondCalculator!$B$5/12</f>
        <v>3610.7322488077966</v>
      </c>
      <c r="M112" s="88">
        <f t="shared" si="16"/>
        <v>8205.701621056645</v>
      </c>
      <c r="N112" s="88">
        <f t="shared" si="9"/>
        <v>414514.17141010007</v>
      </c>
      <c r="P112" s="88">
        <f t="shared" si="10"/>
        <v>3011.4717241847643</v>
      </c>
      <c r="Q112" s="89">
        <f>-PV(BondCalculator!$B$9/12,B112,0,1,0)</f>
        <v>0.5806297290419618</v>
      </c>
      <c r="S112" s="90">
        <f t="shared" si="11"/>
        <v>1748.5500112309292</v>
      </c>
    </row>
    <row r="113" spans="1:19" ht="15" customHeight="1">
      <c r="A113" s="85" t="s">
        <v>107</v>
      </c>
      <c r="B113" s="96">
        <v>110</v>
      </c>
      <c r="C113" s="86">
        <f t="shared" si="17"/>
        <v>772088.1864534769</v>
      </c>
      <c r="D113" s="86">
        <f>IF(G112=0,0,IF(G112&lt;BondCalculator!$B$12,G112+E113,BondCalculator!$B$12))</f>
        <v>9816.433869864442</v>
      </c>
      <c r="E113" s="86">
        <f>C113*BondCalculator!$B$5/12</f>
        <v>6594.919925956782</v>
      </c>
      <c r="F113" s="86">
        <f t="shared" si="12"/>
        <v>3221.51394390766</v>
      </c>
      <c r="G113" s="86">
        <f t="shared" si="13"/>
        <v>768866.6725095692</v>
      </c>
      <c r="H113" s="98">
        <f t="shared" si="14"/>
        <v>0.7688666725095692</v>
      </c>
      <c r="J113" s="88">
        <f t="shared" si="15"/>
        <v>414514.17141010007</v>
      </c>
      <c r="K113" s="88">
        <f>IF(N112=0,0,IF(N112&lt;BondCalculator!$B$12+BondCalculator!$B$7,N112+L113,BondCalculator!$B$12+BondCalculator!$B$7))</f>
        <v>11816.433869864442</v>
      </c>
      <c r="L113" s="88">
        <f>J113*BondCalculator!$B$5/12</f>
        <v>3540.6418807946047</v>
      </c>
      <c r="M113" s="88">
        <f t="shared" si="16"/>
        <v>8275.791989069838</v>
      </c>
      <c r="N113" s="88">
        <f t="shared" si="9"/>
        <v>406238.37942103023</v>
      </c>
      <c r="P113" s="88">
        <f t="shared" si="10"/>
        <v>3054.2780451621775</v>
      </c>
      <c r="Q113" s="89">
        <f>-PV(BondCalculator!$B$9/12,B113,0,1,0)</f>
        <v>0.57774102392235</v>
      </c>
      <c r="S113" s="90">
        <f t="shared" si="11"/>
        <v>1764.5817251555502</v>
      </c>
    </row>
    <row r="114" spans="1:19" ht="15" customHeight="1">
      <c r="A114" s="85" t="s">
        <v>107</v>
      </c>
      <c r="B114" s="96">
        <v>111</v>
      </c>
      <c r="C114" s="86">
        <f t="shared" si="17"/>
        <v>768866.6725095692</v>
      </c>
      <c r="D114" s="86">
        <f>IF(G113=0,0,IF(G113&lt;BondCalculator!$B$12,G113+E114,BondCalculator!$B$12))</f>
        <v>9816.433869864442</v>
      </c>
      <c r="E114" s="86">
        <f>C114*BondCalculator!$B$5/12</f>
        <v>6567.4028276859035</v>
      </c>
      <c r="F114" s="86">
        <f t="shared" si="12"/>
        <v>3249.031042178539</v>
      </c>
      <c r="G114" s="86">
        <f t="shared" si="13"/>
        <v>765617.6414673907</v>
      </c>
      <c r="H114" s="98">
        <f t="shared" si="14"/>
        <v>0.7656176414673908</v>
      </c>
      <c r="J114" s="88">
        <f t="shared" si="15"/>
        <v>406238.37942103023</v>
      </c>
      <c r="K114" s="88">
        <f>IF(N113=0,0,IF(N113&lt;BondCalculator!$B$12+BondCalculator!$B$7,N113+L114,BondCalculator!$B$12+BondCalculator!$B$7))</f>
        <v>11816.433869864442</v>
      </c>
      <c r="L114" s="88">
        <f>J114*BondCalculator!$B$5/12</f>
        <v>3469.9528242212996</v>
      </c>
      <c r="M114" s="88">
        <f t="shared" si="16"/>
        <v>8346.481045643142</v>
      </c>
      <c r="N114" s="88">
        <f t="shared" si="9"/>
        <v>397891.89837538707</v>
      </c>
      <c r="P114" s="88">
        <f t="shared" si="10"/>
        <v>3097.450003464604</v>
      </c>
      <c r="Q114" s="89">
        <f>-PV(BondCalculator!$B$9/12,B114,0,1,0)</f>
        <v>0.5748666904700002</v>
      </c>
      <c r="S114" s="90">
        <f t="shared" si="11"/>
        <v>1780.6208323879873</v>
      </c>
    </row>
    <row r="115" spans="1:19" ht="15" customHeight="1">
      <c r="A115" s="85" t="s">
        <v>107</v>
      </c>
      <c r="B115" s="96">
        <v>112</v>
      </c>
      <c r="C115" s="86">
        <f t="shared" si="17"/>
        <v>765617.6414673907</v>
      </c>
      <c r="D115" s="86">
        <f>IF(G114=0,0,IF(G114&lt;BondCalculator!$B$12,G114+E115,BondCalculator!$B$12))</f>
        <v>9816.433869864442</v>
      </c>
      <c r="E115" s="86">
        <f>C115*BondCalculator!$B$5/12</f>
        <v>6539.650687533962</v>
      </c>
      <c r="F115" s="86">
        <f t="shared" si="12"/>
        <v>3276.7831823304805</v>
      </c>
      <c r="G115" s="86">
        <f t="shared" si="13"/>
        <v>762340.8582850603</v>
      </c>
      <c r="H115" s="98">
        <f t="shared" si="14"/>
        <v>0.7623408582850603</v>
      </c>
      <c r="J115" s="88">
        <f t="shared" si="15"/>
        <v>397891.89837538707</v>
      </c>
      <c r="K115" s="88">
        <f>IF(N114=0,0,IF(N114&lt;BondCalculator!$B$12+BondCalculator!$B$7,N114+L115,BondCalculator!$B$12+BondCalculator!$B$7))</f>
        <v>11816.433869864442</v>
      </c>
      <c r="L115" s="88">
        <f>J115*BondCalculator!$B$5/12</f>
        <v>3398.6599652897644</v>
      </c>
      <c r="M115" s="88">
        <f t="shared" si="16"/>
        <v>8417.773904574678</v>
      </c>
      <c r="N115" s="88">
        <f t="shared" si="9"/>
        <v>389474.1244708124</v>
      </c>
      <c r="P115" s="88">
        <f t="shared" si="10"/>
        <v>3140.9907222441975</v>
      </c>
      <c r="Q115" s="89">
        <f>-PV(BondCalculator!$B$9/12,B115,0,1,0)</f>
        <v>0.5720066571840798</v>
      </c>
      <c r="S115" s="90">
        <f t="shared" si="11"/>
        <v>1796.667603277112</v>
      </c>
    </row>
    <row r="116" spans="1:19" ht="15" customHeight="1">
      <c r="A116" s="85" t="s">
        <v>107</v>
      </c>
      <c r="B116" s="96">
        <v>113</v>
      </c>
      <c r="C116" s="86">
        <f t="shared" si="17"/>
        <v>762340.8582850603</v>
      </c>
      <c r="D116" s="86">
        <f>IF(G115=0,0,IF(G115&lt;BondCalculator!$B$12,G115+E116,BondCalculator!$B$12))</f>
        <v>9816.433869864442</v>
      </c>
      <c r="E116" s="86">
        <f>C116*BondCalculator!$B$5/12</f>
        <v>6511.661497851556</v>
      </c>
      <c r="F116" s="86">
        <f t="shared" si="12"/>
        <v>3304.772372012886</v>
      </c>
      <c r="G116" s="86">
        <f t="shared" si="13"/>
        <v>759036.0859130474</v>
      </c>
      <c r="H116" s="98">
        <f t="shared" si="14"/>
        <v>0.7590360859130474</v>
      </c>
      <c r="J116" s="88">
        <f t="shared" si="15"/>
        <v>389474.1244708124</v>
      </c>
      <c r="K116" s="88">
        <f>IF(N115=0,0,IF(N115&lt;BondCalculator!$B$12+BondCalculator!$B$7,N115+L116,BondCalculator!$B$12+BondCalculator!$B$7))</f>
        <v>11816.433869864442</v>
      </c>
      <c r="L116" s="88">
        <f>J116*BondCalculator!$B$5/12</f>
        <v>3326.758146521522</v>
      </c>
      <c r="M116" s="88">
        <f t="shared" si="16"/>
        <v>8489.67572334292</v>
      </c>
      <c r="N116" s="88">
        <f t="shared" si="9"/>
        <v>380984.44874746946</v>
      </c>
      <c r="P116" s="88">
        <f t="shared" si="10"/>
        <v>3184.903351330034</v>
      </c>
      <c r="Q116" s="89">
        <f>-PV(BondCalculator!$B$9/12,B116,0,1,0)</f>
        <v>0.5691608529194824</v>
      </c>
      <c r="S116" s="90">
        <f t="shared" si="11"/>
        <v>1812.72230790912</v>
      </c>
    </row>
    <row r="117" spans="1:19" ht="15" customHeight="1">
      <c r="A117" s="85" t="s">
        <v>107</v>
      </c>
      <c r="B117" s="96">
        <v>114</v>
      </c>
      <c r="C117" s="86">
        <f t="shared" si="17"/>
        <v>759036.0859130474</v>
      </c>
      <c r="D117" s="86">
        <f>IF(G116=0,0,IF(G116&lt;BondCalculator!$B$12,G116+E117,BondCalculator!$B$12))</f>
        <v>9816.433869864442</v>
      </c>
      <c r="E117" s="86">
        <f>C117*BondCalculator!$B$5/12</f>
        <v>6483.433233840613</v>
      </c>
      <c r="F117" s="86">
        <f t="shared" si="12"/>
        <v>3333.0006360238294</v>
      </c>
      <c r="G117" s="86">
        <f t="shared" si="13"/>
        <v>755703.0852770236</v>
      </c>
      <c r="H117" s="98">
        <f t="shared" si="14"/>
        <v>0.7557030852770236</v>
      </c>
      <c r="J117" s="88">
        <f t="shared" si="15"/>
        <v>380984.44874746946</v>
      </c>
      <c r="K117" s="88">
        <f>IF(N116=0,0,IF(N116&lt;BondCalculator!$B$12+BondCalculator!$B$7,N116+L117,BondCalculator!$B$12+BondCalculator!$B$7))</f>
        <v>11816.433869864442</v>
      </c>
      <c r="L117" s="88">
        <f>J117*BondCalculator!$B$5/12</f>
        <v>3254.242166384635</v>
      </c>
      <c r="M117" s="88">
        <f t="shared" si="16"/>
        <v>8562.191703479808</v>
      </c>
      <c r="N117" s="88">
        <f t="shared" si="9"/>
        <v>372422.25704398967</v>
      </c>
      <c r="P117" s="88">
        <f t="shared" si="10"/>
        <v>3229.191067455978</v>
      </c>
      <c r="Q117" s="89">
        <f>-PV(BondCalculator!$B$9/12,B117,0,1,0)</f>
        <v>0.5663292068850574</v>
      </c>
      <c r="S117" s="90">
        <f t="shared" si="11"/>
        <v>1828.785216112656</v>
      </c>
    </row>
    <row r="118" spans="1:19" ht="15" customHeight="1">
      <c r="A118" s="85" t="s">
        <v>107</v>
      </c>
      <c r="B118" s="96">
        <v>115</v>
      </c>
      <c r="C118" s="86">
        <f t="shared" si="17"/>
        <v>755703.0852770236</v>
      </c>
      <c r="D118" s="86">
        <f>IF(G117=0,0,IF(G117&lt;BondCalculator!$B$12,G117+E118,BondCalculator!$B$12))</f>
        <v>9816.433869864442</v>
      </c>
      <c r="E118" s="86">
        <f>C118*BondCalculator!$B$5/12</f>
        <v>6454.9638534079095</v>
      </c>
      <c r="F118" s="86">
        <f t="shared" si="12"/>
        <v>3361.470016456533</v>
      </c>
      <c r="G118" s="86">
        <f t="shared" si="13"/>
        <v>752341.615260567</v>
      </c>
      <c r="H118" s="98">
        <f t="shared" si="14"/>
        <v>0.7523416152605671</v>
      </c>
      <c r="J118" s="88">
        <f t="shared" si="15"/>
        <v>372422.25704398967</v>
      </c>
      <c r="K118" s="88">
        <f>IF(N117=0,0,IF(N117&lt;BondCalculator!$B$12+BondCalculator!$B$7,N117+L118,BondCalculator!$B$12+BondCalculator!$B$7))</f>
        <v>11816.433869864442</v>
      </c>
      <c r="L118" s="88">
        <f>J118*BondCalculator!$B$5/12</f>
        <v>3181.1067789174117</v>
      </c>
      <c r="M118" s="88">
        <f t="shared" si="16"/>
        <v>8635.32709094703</v>
      </c>
      <c r="N118" s="88">
        <f t="shared" si="9"/>
        <v>363786.92995304265</v>
      </c>
      <c r="P118" s="88">
        <f t="shared" si="10"/>
        <v>3273.857074490498</v>
      </c>
      <c r="Q118" s="89">
        <f>-PV(BondCalculator!$B$9/12,B118,0,1,0)</f>
        <v>0.5635116486418481</v>
      </c>
      <c r="S118" s="90">
        <f t="shared" si="11"/>
        <v>1844.8565974639182</v>
      </c>
    </row>
    <row r="119" spans="1:19" ht="15" customHeight="1">
      <c r="A119" s="85" t="s">
        <v>107</v>
      </c>
      <c r="B119" s="96">
        <v>116</v>
      </c>
      <c r="C119" s="86">
        <f t="shared" si="17"/>
        <v>752341.615260567</v>
      </c>
      <c r="D119" s="86">
        <f>IF(G118=0,0,IF(G118&lt;BondCalculator!$B$12,G118+E119,BondCalculator!$B$12))</f>
        <v>9816.433869864442</v>
      </c>
      <c r="E119" s="86">
        <f>C119*BondCalculator!$B$5/12</f>
        <v>6426.251297017344</v>
      </c>
      <c r="F119" s="86">
        <f t="shared" si="12"/>
        <v>3390.1825728470985</v>
      </c>
      <c r="G119" s="86">
        <f t="shared" si="13"/>
        <v>748951.4326877199</v>
      </c>
      <c r="H119" s="98">
        <f t="shared" si="14"/>
        <v>0.7489514326877199</v>
      </c>
      <c r="J119" s="88">
        <f t="shared" si="15"/>
        <v>363786.92995304265</v>
      </c>
      <c r="K119" s="88">
        <f>IF(N118=0,0,IF(N118&lt;BondCalculator!$B$12+BondCalculator!$B$7,N118+L119,BondCalculator!$B$12+BondCalculator!$B$7))</f>
        <v>11816.433869864442</v>
      </c>
      <c r="L119" s="88">
        <f>J119*BondCalculator!$B$5/12</f>
        <v>3107.346693348906</v>
      </c>
      <c r="M119" s="88">
        <f t="shared" si="16"/>
        <v>8709.087176515537</v>
      </c>
      <c r="N119" s="88">
        <f t="shared" si="9"/>
        <v>355077.8427765271</v>
      </c>
      <c r="P119" s="88">
        <f t="shared" si="10"/>
        <v>3318.904603668438</v>
      </c>
      <c r="Q119" s="89">
        <f>-PV(BondCalculator!$B$9/12,B119,0,1,0)</f>
        <v>0.5607081081013415</v>
      </c>
      <c r="S119" s="90">
        <f t="shared" si="11"/>
        <v>1860.9367212917628</v>
      </c>
    </row>
    <row r="120" spans="1:19" ht="15" customHeight="1">
      <c r="A120" s="85" t="s">
        <v>107</v>
      </c>
      <c r="B120" s="96">
        <v>117</v>
      </c>
      <c r="C120" s="86">
        <f t="shared" si="17"/>
        <v>748951.4326877199</v>
      </c>
      <c r="D120" s="86">
        <f>IF(G119=0,0,IF(G119&lt;BondCalculator!$B$12,G119+E120,BondCalculator!$B$12))</f>
        <v>9816.433869864442</v>
      </c>
      <c r="E120" s="86">
        <f>C120*BondCalculator!$B$5/12</f>
        <v>6397.293487540941</v>
      </c>
      <c r="F120" s="86">
        <f t="shared" si="12"/>
        <v>3419.1403823235014</v>
      </c>
      <c r="G120" s="86">
        <f t="shared" si="13"/>
        <v>745532.2923053964</v>
      </c>
      <c r="H120" s="98">
        <f t="shared" si="14"/>
        <v>0.7455322923053964</v>
      </c>
      <c r="J120" s="88">
        <f t="shared" si="15"/>
        <v>355077.8427765271</v>
      </c>
      <c r="K120" s="88">
        <f>IF(N119=0,0,IF(N119&lt;BondCalculator!$B$12+BondCalculator!$B$7,N119+L120,BondCalculator!$B$12+BondCalculator!$B$7))</f>
        <v>11816.433869864442</v>
      </c>
      <c r="L120" s="88">
        <f>J120*BondCalculator!$B$5/12</f>
        <v>3032.956573716169</v>
      </c>
      <c r="M120" s="88">
        <f t="shared" si="16"/>
        <v>8783.477296148274</v>
      </c>
      <c r="N120" s="88">
        <f t="shared" si="9"/>
        <v>346294.36548037885</v>
      </c>
      <c r="P120" s="88">
        <f t="shared" si="10"/>
        <v>3364.336913824772</v>
      </c>
      <c r="Q120" s="89">
        <f>-PV(BondCalculator!$B$9/12,B120,0,1,0)</f>
        <v>0.557918515523723</v>
      </c>
      <c r="S120" s="90">
        <f t="shared" si="11"/>
        <v>1877.0258566827804</v>
      </c>
    </row>
    <row r="121" spans="1:19" ht="15" customHeight="1">
      <c r="A121" s="85" t="s">
        <v>107</v>
      </c>
      <c r="B121" s="96">
        <v>118</v>
      </c>
      <c r="C121" s="86">
        <f t="shared" si="17"/>
        <v>745532.2923053964</v>
      </c>
      <c r="D121" s="86">
        <f>IF(G120=0,0,IF(G120&lt;BondCalculator!$B$12,G120+E121,BondCalculator!$B$12))</f>
        <v>9816.433869864442</v>
      </c>
      <c r="E121" s="86">
        <f>C121*BondCalculator!$B$5/12</f>
        <v>6368.088330108593</v>
      </c>
      <c r="F121" s="86">
        <f t="shared" si="12"/>
        <v>3448.345539755849</v>
      </c>
      <c r="G121" s="86">
        <f t="shared" si="13"/>
        <v>742083.9467656405</v>
      </c>
      <c r="H121" s="98">
        <f t="shared" si="14"/>
        <v>0.7420839467656405</v>
      </c>
      <c r="J121" s="88">
        <f t="shared" si="15"/>
        <v>346294.36548037885</v>
      </c>
      <c r="K121" s="88">
        <f>IF(N120=0,0,IF(N120&lt;BondCalculator!$B$12+BondCalculator!$B$7,N120+L121,BondCalculator!$B$12+BondCalculator!$B$7))</f>
        <v>11816.433869864442</v>
      </c>
      <c r="L121" s="88">
        <f>J121*BondCalculator!$B$5/12</f>
        <v>2957.931038478236</v>
      </c>
      <c r="M121" s="88">
        <f t="shared" si="16"/>
        <v>8858.502831386206</v>
      </c>
      <c r="N121" s="88">
        <f t="shared" si="9"/>
        <v>337435.8626489926</v>
      </c>
      <c r="P121" s="88">
        <f t="shared" si="10"/>
        <v>3410.157291630357</v>
      </c>
      <c r="Q121" s="89">
        <f>-PV(BondCalculator!$B$9/12,B121,0,1,0)</f>
        <v>0.5551428015161425</v>
      </c>
      <c r="S121" s="90">
        <f t="shared" si="11"/>
        <v>1893.1242724863773</v>
      </c>
    </row>
    <row r="122" spans="1:19" ht="15" customHeight="1">
      <c r="A122" s="85" t="s">
        <v>107</v>
      </c>
      <c r="B122" s="96">
        <v>119</v>
      </c>
      <c r="C122" s="86">
        <f t="shared" si="17"/>
        <v>742083.9467656405</v>
      </c>
      <c r="D122" s="86">
        <f>IF(G121=0,0,IF(G121&lt;BondCalculator!$B$12,G121+E122,BondCalculator!$B$12))</f>
        <v>9816.433869864442</v>
      </c>
      <c r="E122" s="86">
        <f>C122*BondCalculator!$B$5/12</f>
        <v>6338.633711956513</v>
      </c>
      <c r="F122" s="86">
        <f t="shared" si="12"/>
        <v>3477.800157907929</v>
      </c>
      <c r="G122" s="86">
        <f t="shared" si="13"/>
        <v>738606.1466077326</v>
      </c>
      <c r="H122" s="98">
        <f t="shared" si="14"/>
        <v>0.7386061466077326</v>
      </c>
      <c r="J122" s="88">
        <f t="shared" si="15"/>
        <v>337435.8626489926</v>
      </c>
      <c r="K122" s="88">
        <f>IF(N121=0,0,IF(N121&lt;BondCalculator!$B$12+BondCalculator!$B$7,N121+L122,BondCalculator!$B$12+BondCalculator!$B$7))</f>
        <v>11816.433869864442</v>
      </c>
      <c r="L122" s="88">
        <f>J122*BondCalculator!$B$5/12</f>
        <v>2882.2646601268116</v>
      </c>
      <c r="M122" s="88">
        <f t="shared" si="16"/>
        <v>8934.16920973763</v>
      </c>
      <c r="N122" s="88">
        <f t="shared" si="9"/>
        <v>328501.693439255</v>
      </c>
      <c r="P122" s="88">
        <f t="shared" si="10"/>
        <v>3456.3690518297017</v>
      </c>
      <c r="Q122" s="89">
        <f>-PV(BondCalculator!$B$9/12,B122,0,1,0)</f>
        <v>0.5523808970309875</v>
      </c>
      <c r="S122" s="90">
        <f t="shared" si="11"/>
        <v>1909.2322373198342</v>
      </c>
    </row>
    <row r="123" spans="1:19" ht="15" customHeight="1">
      <c r="A123" s="85" t="s">
        <v>107</v>
      </c>
      <c r="B123" s="96">
        <v>120</v>
      </c>
      <c r="C123" s="86">
        <f t="shared" si="17"/>
        <v>738606.1466077326</v>
      </c>
      <c r="D123" s="86">
        <f>IF(G122=0,0,IF(G122&lt;BondCalculator!$B$12,G122+E123,BondCalculator!$B$12))</f>
        <v>9816.433869864442</v>
      </c>
      <c r="E123" s="86">
        <f>C123*BondCalculator!$B$5/12</f>
        <v>6308.927502274382</v>
      </c>
      <c r="F123" s="86">
        <f t="shared" si="12"/>
        <v>3507.50636759006</v>
      </c>
      <c r="G123" s="86">
        <f t="shared" si="13"/>
        <v>735098.6402401426</v>
      </c>
      <c r="H123" s="98">
        <f t="shared" si="14"/>
        <v>0.7350986402401426</v>
      </c>
      <c r="J123" s="88">
        <f t="shared" si="15"/>
        <v>328501.693439255</v>
      </c>
      <c r="K123" s="88">
        <f>IF(N122=0,0,IF(N122&lt;BondCalculator!$B$12+BondCalculator!$B$7,N122+L123,BondCalculator!$B$12+BondCalculator!$B$7))</f>
        <v>11816.433869864442</v>
      </c>
      <c r="L123" s="88">
        <f>J123*BondCalculator!$B$5/12</f>
        <v>2805.9519647936363</v>
      </c>
      <c r="M123" s="88">
        <f t="shared" si="16"/>
        <v>9010.481905070807</v>
      </c>
      <c r="N123" s="88">
        <f t="shared" si="9"/>
        <v>319491.21153418417</v>
      </c>
      <c r="P123" s="88">
        <f t="shared" si="10"/>
        <v>3502.975537480746</v>
      </c>
      <c r="Q123" s="89">
        <f>-PV(BondCalculator!$B$9/12,B123,0,1,0)</f>
        <v>0.5496327333641666</v>
      </c>
      <c r="S123" s="90">
        <f t="shared" si="11"/>
        <v>1925.3500195733532</v>
      </c>
    </row>
    <row r="124" spans="1:19" ht="15" customHeight="1">
      <c r="A124" s="85" t="s">
        <v>108</v>
      </c>
      <c r="B124" s="96">
        <v>121</v>
      </c>
      <c r="C124" s="86">
        <f t="shared" si="17"/>
        <v>735098.6402401426</v>
      </c>
      <c r="D124" s="86">
        <f>IF(G123=0,0,IF(G123&lt;BondCalculator!$B$12,G123+E124,BondCalculator!$B$12))</f>
        <v>9816.433869864442</v>
      </c>
      <c r="E124" s="86">
        <f>C124*BondCalculator!$B$5/12</f>
        <v>6278.967552051217</v>
      </c>
      <c r="F124" s="86">
        <f t="shared" si="12"/>
        <v>3537.466317813225</v>
      </c>
      <c r="G124" s="86">
        <f t="shared" si="13"/>
        <v>731561.1739223293</v>
      </c>
      <c r="H124" s="98">
        <f t="shared" si="14"/>
        <v>0.7315611739223293</v>
      </c>
      <c r="J124" s="88">
        <f t="shared" si="15"/>
        <v>319491.21153418417</v>
      </c>
      <c r="K124" s="88">
        <f>IF(N123=0,0,IF(N123&lt;BondCalculator!$B$12+BondCalculator!$B$7,N123+L124,BondCalculator!$B$12+BondCalculator!$B$7))</f>
        <v>11816.433869864442</v>
      </c>
      <c r="L124" s="88">
        <f>J124*BondCalculator!$B$5/12</f>
        <v>2728.9874318544894</v>
      </c>
      <c r="M124" s="88">
        <f t="shared" si="16"/>
        <v>9087.446438009953</v>
      </c>
      <c r="N124" s="88">
        <f t="shared" si="9"/>
        <v>310403.7650961742</v>
      </c>
      <c r="P124" s="88">
        <f t="shared" si="10"/>
        <v>3549.980120196728</v>
      </c>
      <c r="Q124" s="89">
        <f>-PV(BondCalculator!$B$9/12,B124,0,1,0)</f>
        <v>0.5468982421533998</v>
      </c>
      <c r="S124" s="90">
        <f t="shared" si="11"/>
        <v>1941.4778874151054</v>
      </c>
    </row>
    <row r="125" spans="1:19" ht="15" customHeight="1">
      <c r="A125" s="85" t="s">
        <v>108</v>
      </c>
      <c r="B125" s="96">
        <v>122</v>
      </c>
      <c r="C125" s="86">
        <f t="shared" si="17"/>
        <v>731561.1739223293</v>
      </c>
      <c r="D125" s="86">
        <f>IF(G124=0,0,IF(G124&lt;BondCalculator!$B$12,G124+E125,BondCalculator!$B$12))</f>
        <v>9816.433869864442</v>
      </c>
      <c r="E125" s="86">
        <f>C125*BondCalculator!$B$5/12</f>
        <v>6248.751693919897</v>
      </c>
      <c r="F125" s="86">
        <f t="shared" si="12"/>
        <v>3567.6821759445456</v>
      </c>
      <c r="G125" s="86">
        <f t="shared" si="13"/>
        <v>727993.4917463848</v>
      </c>
      <c r="H125" s="98">
        <f t="shared" si="14"/>
        <v>0.7279934917463847</v>
      </c>
      <c r="J125" s="88">
        <f t="shared" si="15"/>
        <v>310403.7650961742</v>
      </c>
      <c r="K125" s="88">
        <f>IF(N124=0,0,IF(N124&lt;BondCalculator!$B$12+BondCalculator!$B$7,N124+L125,BondCalculator!$B$12+BondCalculator!$B$7))</f>
        <v>11816.433869864442</v>
      </c>
      <c r="L125" s="88">
        <f>J125*BondCalculator!$B$5/12</f>
        <v>2651.3654935298214</v>
      </c>
      <c r="M125" s="88">
        <f t="shared" si="16"/>
        <v>9165.06837633462</v>
      </c>
      <c r="N125" s="88">
        <f t="shared" si="9"/>
        <v>301238.6967198396</v>
      </c>
      <c r="P125" s="88">
        <f t="shared" si="10"/>
        <v>3597.3862003900754</v>
      </c>
      <c r="Q125" s="89">
        <f>-PV(BondCalculator!$B$9/12,B125,0,1,0)</f>
        <v>0.5441773553765172</v>
      </c>
      <c r="S125" s="90">
        <f t="shared" si="11"/>
        <v>1957.6161087962491</v>
      </c>
    </row>
    <row r="126" spans="1:19" ht="15" customHeight="1">
      <c r="A126" s="85" t="s">
        <v>108</v>
      </c>
      <c r="B126" s="96">
        <v>123</v>
      </c>
      <c r="C126" s="86">
        <f t="shared" si="17"/>
        <v>727993.4917463848</v>
      </c>
      <c r="D126" s="86">
        <f>IF(G125=0,0,IF(G125&lt;BondCalculator!$B$12,G125+E126,BondCalculator!$B$12))</f>
        <v>9816.433869864442</v>
      </c>
      <c r="E126" s="86">
        <f>C126*BondCalculator!$B$5/12</f>
        <v>6218.2777420003695</v>
      </c>
      <c r="F126" s="86">
        <f t="shared" si="12"/>
        <v>3598.156127864073</v>
      </c>
      <c r="G126" s="86">
        <f t="shared" si="13"/>
        <v>724395.3356185207</v>
      </c>
      <c r="H126" s="98">
        <f t="shared" si="14"/>
        <v>0.7243953356185208</v>
      </c>
      <c r="J126" s="88">
        <f t="shared" si="15"/>
        <v>301238.6967198396</v>
      </c>
      <c r="K126" s="88">
        <f>IF(N125=0,0,IF(N125&lt;BondCalculator!$B$12+BondCalculator!$B$7,N125+L126,BondCalculator!$B$12+BondCalculator!$B$7))</f>
        <v>11816.433869864442</v>
      </c>
      <c r="L126" s="88">
        <f>J126*BondCalculator!$B$5/12</f>
        <v>2573.0805344819632</v>
      </c>
      <c r="M126" s="88">
        <f t="shared" si="16"/>
        <v>9243.353335382479</v>
      </c>
      <c r="N126" s="88">
        <f t="shared" si="9"/>
        <v>291995.3433844571</v>
      </c>
      <c r="P126" s="88">
        <f t="shared" si="10"/>
        <v>3645.1972075184062</v>
      </c>
      <c r="Q126" s="89">
        <f>-PV(BondCalculator!$B$9/12,B126,0,1,0)</f>
        <v>0.5414700053497685</v>
      </c>
      <c r="S126" s="90">
        <f t="shared" si="11"/>
        <v>1973.7649514559528</v>
      </c>
    </row>
    <row r="127" spans="1:19" ht="15" customHeight="1">
      <c r="A127" s="85" t="s">
        <v>108</v>
      </c>
      <c r="B127" s="96">
        <v>124</v>
      </c>
      <c r="C127" s="86">
        <f t="shared" si="17"/>
        <v>724395.3356185207</v>
      </c>
      <c r="D127" s="86">
        <f>IF(G126=0,0,IF(G126&lt;BondCalculator!$B$12,G126+E127,BondCalculator!$B$12))</f>
        <v>9816.433869864442</v>
      </c>
      <c r="E127" s="86">
        <f>C127*BondCalculator!$B$5/12</f>
        <v>6187.5434917415305</v>
      </c>
      <c r="F127" s="86">
        <f t="shared" si="12"/>
        <v>3628.890378122912</v>
      </c>
      <c r="G127" s="86">
        <f t="shared" si="13"/>
        <v>720766.4452403978</v>
      </c>
      <c r="H127" s="98">
        <f t="shared" si="14"/>
        <v>0.7207664452403978</v>
      </c>
      <c r="J127" s="88">
        <f t="shared" si="15"/>
        <v>291995.3433844571</v>
      </c>
      <c r="K127" s="88">
        <f>IF(N126=0,0,IF(N126&lt;BondCalculator!$B$12+BondCalculator!$B$7,N126+L127,BondCalculator!$B$12+BondCalculator!$B$7))</f>
        <v>11816.433869864442</v>
      </c>
      <c r="L127" s="88">
        <f>J127*BondCalculator!$B$5/12</f>
        <v>2494.1268914089046</v>
      </c>
      <c r="M127" s="88">
        <f t="shared" si="16"/>
        <v>9322.306978455537</v>
      </c>
      <c r="N127" s="88">
        <f t="shared" si="9"/>
        <v>282673.0364060016</v>
      </c>
      <c r="P127" s="88">
        <f t="shared" si="10"/>
        <v>3693.416600332626</v>
      </c>
      <c r="Q127" s="89">
        <f>-PV(BondCalculator!$B$9/12,B127,0,1,0)</f>
        <v>0.5387761247261379</v>
      </c>
      <c r="S127" s="90">
        <f t="shared" si="11"/>
        <v>1989.924682926399</v>
      </c>
    </row>
    <row r="128" spans="1:19" ht="15" customHeight="1">
      <c r="A128" s="85" t="s">
        <v>108</v>
      </c>
      <c r="B128" s="96">
        <v>125</v>
      </c>
      <c r="C128" s="86">
        <f t="shared" si="17"/>
        <v>720766.4452403978</v>
      </c>
      <c r="D128" s="86">
        <f>IF(G127=0,0,IF(G127&lt;BondCalculator!$B$12,G127+E128,BondCalculator!$B$12))</f>
        <v>9816.433869864442</v>
      </c>
      <c r="E128" s="86">
        <f>C128*BondCalculator!$B$5/12</f>
        <v>6156.546719761732</v>
      </c>
      <c r="F128" s="86">
        <f t="shared" si="12"/>
        <v>3659.8871501027106</v>
      </c>
      <c r="G128" s="86">
        <f t="shared" si="13"/>
        <v>717106.5580902951</v>
      </c>
      <c r="H128" s="98">
        <f t="shared" si="14"/>
        <v>0.7171065580902951</v>
      </c>
      <c r="J128" s="88">
        <f t="shared" si="15"/>
        <v>282673.0364060016</v>
      </c>
      <c r="K128" s="88">
        <f>IF(N127=0,0,IF(N127&lt;BondCalculator!$B$12+BondCalculator!$B$7,N127+L128,BondCalculator!$B$12+BondCalculator!$B$7))</f>
        <v>11816.433869864442</v>
      </c>
      <c r="L128" s="88">
        <f>J128*BondCalculator!$B$5/12</f>
        <v>2414.498852634597</v>
      </c>
      <c r="M128" s="88">
        <f t="shared" si="16"/>
        <v>9401.935017229845</v>
      </c>
      <c r="N128" s="88">
        <f t="shared" si="9"/>
        <v>273271.1013887717</v>
      </c>
      <c r="P128" s="88">
        <f t="shared" si="10"/>
        <v>3742.047867127135</v>
      </c>
      <c r="Q128" s="89">
        <f>-PV(BondCalculator!$B$9/12,B128,0,1,0)</f>
        <v>0.5360956464936697</v>
      </c>
      <c r="S128" s="90">
        <f t="shared" si="11"/>
        <v>2006.0955705377792</v>
      </c>
    </row>
    <row r="129" spans="1:19" ht="15" customHeight="1">
      <c r="A129" s="85" t="s">
        <v>108</v>
      </c>
      <c r="B129" s="96">
        <v>126</v>
      </c>
      <c r="C129" s="86">
        <f t="shared" si="17"/>
        <v>717106.5580902951</v>
      </c>
      <c r="D129" s="86">
        <f>IF(G128=0,0,IF(G128&lt;BondCalculator!$B$12,G128+E129,BondCalculator!$B$12))</f>
        <v>9816.433869864442</v>
      </c>
      <c r="E129" s="86">
        <f>C129*BondCalculator!$B$5/12</f>
        <v>6125.285183687937</v>
      </c>
      <c r="F129" s="86">
        <f t="shared" si="12"/>
        <v>3691.148686176505</v>
      </c>
      <c r="G129" s="86">
        <f t="shared" si="13"/>
        <v>713415.4094041185</v>
      </c>
      <c r="H129" s="98">
        <f t="shared" si="14"/>
        <v>0.7134154094041185</v>
      </c>
      <c r="J129" s="88">
        <f t="shared" si="15"/>
        <v>273271.1013887717</v>
      </c>
      <c r="K129" s="88">
        <f>IF(N128=0,0,IF(N128&lt;BondCalculator!$B$12+BondCalculator!$B$7,N128+L129,BondCalculator!$B$12+BondCalculator!$B$7))</f>
        <v>11816.433869864442</v>
      </c>
      <c r="L129" s="88">
        <f>J129*BondCalculator!$B$5/12</f>
        <v>2334.1906576957585</v>
      </c>
      <c r="M129" s="88">
        <f t="shared" si="16"/>
        <v>9482.243212168683</v>
      </c>
      <c r="N129" s="88">
        <f t="shared" si="9"/>
        <v>263788.85817660304</v>
      </c>
      <c r="P129" s="88">
        <f t="shared" si="10"/>
        <v>3791.0945259921787</v>
      </c>
      <c r="Q129" s="89">
        <f>-PV(BondCalculator!$B$9/12,B129,0,1,0)</f>
        <v>0.5334285039738007</v>
      </c>
      <c r="S129" s="90">
        <f t="shared" si="11"/>
        <v>2022.277881423273</v>
      </c>
    </row>
    <row r="130" spans="1:19" ht="15" customHeight="1">
      <c r="A130" s="85" t="s">
        <v>108</v>
      </c>
      <c r="B130" s="96">
        <v>127</v>
      </c>
      <c r="C130" s="86">
        <f t="shared" si="17"/>
        <v>713415.4094041185</v>
      </c>
      <c r="D130" s="86">
        <f>IF(G129=0,0,IF(G129&lt;BondCalculator!$B$12,G129+E130,BondCalculator!$B$12))</f>
        <v>9816.433869864442</v>
      </c>
      <c r="E130" s="86">
        <f>C130*BondCalculator!$B$5/12</f>
        <v>6093.7566219935115</v>
      </c>
      <c r="F130" s="86">
        <f t="shared" si="12"/>
        <v>3722.677247870931</v>
      </c>
      <c r="G130" s="86">
        <f t="shared" si="13"/>
        <v>709692.7321562476</v>
      </c>
      <c r="H130" s="98">
        <f t="shared" si="14"/>
        <v>0.7096927321562476</v>
      </c>
      <c r="J130" s="88">
        <f t="shared" si="15"/>
        <v>263788.85817660304</v>
      </c>
      <c r="K130" s="88">
        <f>IF(N129=0,0,IF(N129&lt;BondCalculator!$B$12+BondCalculator!$B$7,N129+L130,BondCalculator!$B$12+BondCalculator!$B$7))</f>
        <v>11816.433869864442</v>
      </c>
      <c r="L130" s="88">
        <f>J130*BondCalculator!$B$5/12</f>
        <v>2253.1964969251508</v>
      </c>
      <c r="M130" s="88">
        <f t="shared" si="16"/>
        <v>9563.237372939291</v>
      </c>
      <c r="N130" s="88">
        <f t="shared" si="9"/>
        <v>254225.62080366374</v>
      </c>
      <c r="P130" s="88">
        <f t="shared" si="10"/>
        <v>3840.560125068361</v>
      </c>
      <c r="Q130" s="89">
        <f>-PV(BondCalculator!$B$9/12,B130,0,1,0)</f>
        <v>0.5307746308197023</v>
      </c>
      <c r="S130" s="90">
        <f t="shared" si="11"/>
        <v>2038.471882524029</v>
      </c>
    </row>
    <row r="131" spans="1:19" ht="15" customHeight="1">
      <c r="A131" s="85" t="s">
        <v>108</v>
      </c>
      <c r="B131" s="96">
        <v>128</v>
      </c>
      <c r="C131" s="86">
        <f t="shared" si="17"/>
        <v>709692.7321562476</v>
      </c>
      <c r="D131" s="86">
        <f>IF(G130=0,0,IF(G130&lt;BondCalculator!$B$12,G130+E131,BondCalculator!$B$12))</f>
        <v>9816.433869864442</v>
      </c>
      <c r="E131" s="86">
        <f>C131*BondCalculator!$B$5/12</f>
        <v>6061.958753834614</v>
      </c>
      <c r="F131" s="86">
        <f t="shared" si="12"/>
        <v>3754.4751160298283</v>
      </c>
      <c r="G131" s="86">
        <f t="shared" si="13"/>
        <v>705938.2570402178</v>
      </c>
      <c r="H131" s="98">
        <f t="shared" si="14"/>
        <v>0.7059382570402177</v>
      </c>
      <c r="J131" s="88">
        <f t="shared" si="15"/>
        <v>254225.62080366374</v>
      </c>
      <c r="K131" s="88">
        <f>IF(N130=0,0,IF(N130&lt;BondCalculator!$B$12+BondCalculator!$B$7,N130+L131,BondCalculator!$B$12+BondCalculator!$B$7))</f>
        <v>11816.433869864442</v>
      </c>
      <c r="L131" s="88">
        <f>J131*BondCalculator!$B$5/12</f>
        <v>2171.5105110312943</v>
      </c>
      <c r="M131" s="88">
        <f t="shared" si="16"/>
        <v>9644.923358833148</v>
      </c>
      <c r="N131" s="88">
        <f t="shared" si="9"/>
        <v>244580.69744483058</v>
      </c>
      <c r="P131" s="88">
        <f t="shared" si="10"/>
        <v>3890.4482428033198</v>
      </c>
      <c r="Q131" s="89">
        <f>-PV(BondCalculator!$B$9/12,B131,0,1,0)</f>
        <v>0.5281339610146293</v>
      </c>
      <c r="S131" s="90">
        <f t="shared" si="11"/>
        <v>2054.6778405941213</v>
      </c>
    </row>
    <row r="132" spans="1:19" ht="15" customHeight="1">
      <c r="A132" s="85" t="s">
        <v>108</v>
      </c>
      <c r="B132" s="96">
        <v>129</v>
      </c>
      <c r="C132" s="86">
        <f t="shared" si="17"/>
        <v>705938.2570402178</v>
      </c>
      <c r="D132" s="86">
        <f>IF(G131=0,0,IF(G131&lt;BondCalculator!$B$12,G131+E132,BondCalculator!$B$12))</f>
        <v>9816.433869864442</v>
      </c>
      <c r="E132" s="86">
        <f>C132*BondCalculator!$B$5/12</f>
        <v>6029.889278885193</v>
      </c>
      <c r="F132" s="86">
        <f t="shared" si="12"/>
        <v>3786.5445909792497</v>
      </c>
      <c r="G132" s="86">
        <f t="shared" si="13"/>
        <v>702151.7124492385</v>
      </c>
      <c r="H132" s="98">
        <f t="shared" si="14"/>
        <v>0.7021517124492386</v>
      </c>
      <c r="J132" s="88">
        <f t="shared" si="15"/>
        <v>244580.69744483058</v>
      </c>
      <c r="K132" s="88">
        <f>IF(N131=0,0,IF(N131&lt;BondCalculator!$B$12+BondCalculator!$B$7,N131+L132,BondCalculator!$B$12+BondCalculator!$B$7))</f>
        <v>11816.433869864442</v>
      </c>
      <c r="L132" s="88">
        <f>J132*BondCalculator!$B$5/12</f>
        <v>2089.1267906745943</v>
      </c>
      <c r="M132" s="88">
        <f t="shared" si="16"/>
        <v>9727.307079189848</v>
      </c>
      <c r="N132" s="88">
        <f aca="true" t="shared" si="18" ref="N132:N195">J132-M132</f>
        <v>234853.39036564075</v>
      </c>
      <c r="P132" s="88">
        <f aca="true" t="shared" si="19" ref="P132:P195">E132-L132</f>
        <v>3940.7624882105983</v>
      </c>
      <c r="Q132" s="89">
        <f>-PV(BondCalculator!$B$9/12,B132,0,1,0)</f>
        <v>0.525506428870278</v>
      </c>
      <c r="S132" s="90">
        <f aca="true" t="shared" si="20" ref="S132:S195">P132*Q132</f>
        <v>2070.8960222055025</v>
      </c>
    </row>
    <row r="133" spans="1:19" ht="15" customHeight="1">
      <c r="A133" s="85" t="s">
        <v>108</v>
      </c>
      <c r="B133" s="96">
        <v>130</v>
      </c>
      <c r="C133" s="86">
        <f t="shared" si="17"/>
        <v>702151.7124492385</v>
      </c>
      <c r="D133" s="86">
        <f>IF(G132=0,0,IF(G132&lt;BondCalculator!$B$12,G132+E133,BondCalculator!$B$12))</f>
        <v>9816.433869864442</v>
      </c>
      <c r="E133" s="86">
        <f>C133*BondCalculator!$B$5/12</f>
        <v>5997.545877170579</v>
      </c>
      <c r="F133" s="86">
        <f aca="true" t="shared" si="21" ref="F133:F196">D133-E133</f>
        <v>3818.8879926938635</v>
      </c>
      <c r="G133" s="86">
        <f aca="true" t="shared" si="22" ref="G133:G196">IF(ROUND(C133-F133,0)=0,0,C133-F133)</f>
        <v>698332.8244565447</v>
      </c>
      <c r="H133" s="98">
        <f aca="true" t="shared" si="23" ref="H133:H196">G133/$C$4</f>
        <v>0.6983328244565447</v>
      </c>
      <c r="J133" s="88">
        <f aca="true" t="shared" si="24" ref="J133:J196">IF(ROUND(N132,0)&gt;0,N132,0)</f>
        <v>234853.39036564075</v>
      </c>
      <c r="K133" s="88">
        <f>IF(N132=0,0,IF(N132&lt;BondCalculator!$B$12+BondCalculator!$B$7,N132+L133,BondCalculator!$B$12+BondCalculator!$B$7))</f>
        <v>11816.433869864442</v>
      </c>
      <c r="L133" s="88">
        <f>J133*BondCalculator!$B$5/12</f>
        <v>2006.039376039848</v>
      </c>
      <c r="M133" s="88">
        <f aca="true" t="shared" si="25" ref="M133:M196">IF(K133-L133&gt;N132,N132,K133-L133)</f>
        <v>9810.394493824595</v>
      </c>
      <c r="N133" s="88">
        <f t="shared" si="18"/>
        <v>225042.99587181615</v>
      </c>
      <c r="P133" s="88">
        <f t="shared" si="19"/>
        <v>3991.5065011307306</v>
      </c>
      <c r="Q133" s="89">
        <f>-PV(BondCalculator!$B$9/12,B133,0,1,0)</f>
        <v>0.5228919690251522</v>
      </c>
      <c r="S133" s="90">
        <f t="shared" si="20"/>
        <v>2087.1266937529435</v>
      </c>
    </row>
    <row r="134" spans="1:19" ht="15" customHeight="1">
      <c r="A134" s="85" t="s">
        <v>108</v>
      </c>
      <c r="B134" s="96">
        <v>131</v>
      </c>
      <c r="C134" s="86">
        <f aca="true" t="shared" si="26" ref="C134:C197">IF(ROUND(G133,0)=0,0,G133)</f>
        <v>698332.8244565447</v>
      </c>
      <c r="D134" s="86">
        <f>IF(G133=0,0,IF(G133&lt;BondCalculator!$B$12,G133+E134,BondCalculator!$B$12))</f>
        <v>9816.433869864442</v>
      </c>
      <c r="E134" s="86">
        <f>C134*BondCalculator!$B$5/12</f>
        <v>5964.926208899652</v>
      </c>
      <c r="F134" s="86">
        <f t="shared" si="21"/>
        <v>3851.5076609647904</v>
      </c>
      <c r="G134" s="86">
        <f t="shared" si="22"/>
        <v>694481.31679558</v>
      </c>
      <c r="H134" s="98">
        <f t="shared" si="23"/>
        <v>0.69448131679558</v>
      </c>
      <c r="J134" s="88">
        <f t="shared" si="24"/>
        <v>225042.99587181615</v>
      </c>
      <c r="K134" s="88">
        <f>IF(N133=0,0,IF(N133&lt;BondCalculator!$B$12+BondCalculator!$B$7,N133+L134,BondCalculator!$B$12+BondCalculator!$B$7))</f>
        <v>11816.433869864442</v>
      </c>
      <c r="L134" s="88">
        <f>J134*BondCalculator!$B$5/12</f>
        <v>1922.242256405096</v>
      </c>
      <c r="M134" s="88">
        <f t="shared" si="25"/>
        <v>9894.191613459347</v>
      </c>
      <c r="N134" s="88">
        <f t="shared" si="18"/>
        <v>215148.8042583568</v>
      </c>
      <c r="P134" s="88">
        <f t="shared" si="19"/>
        <v>4042.6839524945563</v>
      </c>
      <c r="Q134" s="89">
        <f>-PV(BondCalculator!$B$9/12,B134,0,1,0)</f>
        <v>0.5202905164429377</v>
      </c>
      <c r="S134" s="90">
        <f t="shared" si="20"/>
        <v>2103.370121458969</v>
      </c>
    </row>
    <row r="135" spans="1:19" ht="15" customHeight="1">
      <c r="A135" s="85" t="s">
        <v>108</v>
      </c>
      <c r="B135" s="96">
        <v>132</v>
      </c>
      <c r="C135" s="86">
        <f t="shared" si="26"/>
        <v>694481.31679558</v>
      </c>
      <c r="D135" s="86">
        <f>IF(G134=0,0,IF(G134&lt;BondCalculator!$B$12,G134+E135,BondCalculator!$B$12))</f>
        <v>9816.433869864442</v>
      </c>
      <c r="E135" s="86">
        <f>C135*BondCalculator!$B$5/12</f>
        <v>5932.027914295578</v>
      </c>
      <c r="F135" s="86">
        <f t="shared" si="21"/>
        <v>3884.4059555688646</v>
      </c>
      <c r="G135" s="86">
        <f t="shared" si="22"/>
        <v>690596.9108400111</v>
      </c>
      <c r="H135" s="98">
        <f t="shared" si="23"/>
        <v>0.6905969108400111</v>
      </c>
      <c r="J135" s="88">
        <f t="shared" si="24"/>
        <v>215148.8042583568</v>
      </c>
      <c r="K135" s="88">
        <f>IF(N134=0,0,IF(N134&lt;BondCalculator!$B$12+BondCalculator!$B$7,N134+L135,BondCalculator!$B$12+BondCalculator!$B$7))</f>
        <v>11816.433869864442</v>
      </c>
      <c r="L135" s="88">
        <f>J135*BondCalculator!$B$5/12</f>
        <v>1837.7293697067978</v>
      </c>
      <c r="M135" s="88">
        <f t="shared" si="25"/>
        <v>9978.704500157644</v>
      </c>
      <c r="N135" s="88">
        <f t="shared" si="18"/>
        <v>205170.09975819915</v>
      </c>
      <c r="P135" s="88">
        <f t="shared" si="19"/>
        <v>4094.29854458878</v>
      </c>
      <c r="Q135" s="89">
        <f>-PV(BondCalculator!$B$9/12,B135,0,1,0)</f>
        <v>0.5177020064108833</v>
      </c>
      <c r="S135" s="90">
        <f t="shared" si="20"/>
        <v>2119.6265713787707</v>
      </c>
    </row>
    <row r="136" spans="1:19" ht="15" customHeight="1">
      <c r="A136" s="85" t="s">
        <v>109</v>
      </c>
      <c r="B136" s="96">
        <v>133</v>
      </c>
      <c r="C136" s="86">
        <f t="shared" si="26"/>
        <v>690596.9108400111</v>
      </c>
      <c r="D136" s="86">
        <f>IF(G135=0,0,IF(G135&lt;BondCalculator!$B$12,G135+E136,BondCalculator!$B$12))</f>
        <v>9816.433869864442</v>
      </c>
      <c r="E136" s="86">
        <f>C136*BondCalculator!$B$5/12</f>
        <v>5898.848613425095</v>
      </c>
      <c r="F136" s="86">
        <f t="shared" si="21"/>
        <v>3917.585256439347</v>
      </c>
      <c r="G136" s="86">
        <f t="shared" si="22"/>
        <v>686679.3255835717</v>
      </c>
      <c r="H136" s="98">
        <f t="shared" si="23"/>
        <v>0.6866793255835717</v>
      </c>
      <c r="J136" s="88">
        <f t="shared" si="24"/>
        <v>205170.09975819915</v>
      </c>
      <c r="K136" s="88">
        <f>IF(N135=0,0,IF(N135&lt;BondCalculator!$B$12+BondCalculator!$B$7,N135+L136,BondCalculator!$B$12+BondCalculator!$B$7))</f>
        <v>11816.433869864442</v>
      </c>
      <c r="L136" s="88">
        <f>J136*BondCalculator!$B$5/12</f>
        <v>1752.4946021012845</v>
      </c>
      <c r="M136" s="88">
        <f t="shared" si="25"/>
        <v>10063.939267763159</v>
      </c>
      <c r="N136" s="88">
        <f t="shared" si="18"/>
        <v>195106.16049043598</v>
      </c>
      <c r="P136" s="88">
        <f t="shared" si="19"/>
        <v>4146.3540113238105</v>
      </c>
      <c r="Q136" s="89">
        <f>-PV(BondCalculator!$B$9/12,B136,0,1,0)</f>
        <v>0.5151263745381924</v>
      </c>
      <c r="S136" s="90">
        <f t="shared" si="20"/>
        <v>2135.896309405126</v>
      </c>
    </row>
    <row r="137" spans="1:19" ht="15" customHeight="1">
      <c r="A137" s="85" t="s">
        <v>109</v>
      </c>
      <c r="B137" s="96">
        <v>134</v>
      </c>
      <c r="C137" s="86">
        <f t="shared" si="26"/>
        <v>686679.3255835717</v>
      </c>
      <c r="D137" s="86">
        <f>IF(G136=0,0,IF(G136&lt;BondCalculator!$B$12,G136+E137,BondCalculator!$B$12))</f>
        <v>9816.433869864442</v>
      </c>
      <c r="E137" s="86">
        <f>C137*BondCalculator!$B$5/12</f>
        <v>5865.385906026341</v>
      </c>
      <c r="F137" s="86">
        <f t="shared" si="21"/>
        <v>3951.047963838101</v>
      </c>
      <c r="G137" s="86">
        <f t="shared" si="22"/>
        <v>682728.2776197336</v>
      </c>
      <c r="H137" s="98">
        <f t="shared" si="23"/>
        <v>0.6827282776197335</v>
      </c>
      <c r="J137" s="88">
        <f t="shared" si="24"/>
        <v>195106.16049043598</v>
      </c>
      <c r="K137" s="88">
        <f>IF(N136=0,0,IF(N136&lt;BondCalculator!$B$12+BondCalculator!$B$7,N136+L137,BondCalculator!$B$12+BondCalculator!$B$7))</f>
        <v>11816.433869864442</v>
      </c>
      <c r="L137" s="88">
        <f>J137*BondCalculator!$B$5/12</f>
        <v>1666.531787522474</v>
      </c>
      <c r="M137" s="88">
        <f t="shared" si="25"/>
        <v>10149.902082341969</v>
      </c>
      <c r="N137" s="88">
        <f t="shared" si="18"/>
        <v>184956.25840809403</v>
      </c>
      <c r="P137" s="88">
        <f t="shared" si="19"/>
        <v>4198.8541185038675</v>
      </c>
      <c r="Q137" s="89">
        <f>-PV(BondCalculator!$B$9/12,B137,0,1,0)</f>
        <v>0.5125635567544204</v>
      </c>
      <c r="S137" s="90">
        <f t="shared" si="20"/>
        <v>2152.1796012732893</v>
      </c>
    </row>
    <row r="138" spans="1:19" ht="15" customHeight="1">
      <c r="A138" s="85" t="s">
        <v>109</v>
      </c>
      <c r="B138" s="96">
        <v>135</v>
      </c>
      <c r="C138" s="86">
        <f t="shared" si="26"/>
        <v>682728.2776197336</v>
      </c>
      <c r="D138" s="86">
        <f>IF(G137=0,0,IF(G137&lt;BondCalculator!$B$12,G137+E138,BondCalculator!$B$12))</f>
        <v>9816.433869864442</v>
      </c>
      <c r="E138" s="86">
        <f>C138*BondCalculator!$B$5/12</f>
        <v>5831.637371335223</v>
      </c>
      <c r="F138" s="86">
        <f t="shared" si="21"/>
        <v>3984.796498529219</v>
      </c>
      <c r="G138" s="86">
        <f t="shared" si="22"/>
        <v>678743.4811212043</v>
      </c>
      <c r="H138" s="98">
        <f t="shared" si="23"/>
        <v>0.6787434811212043</v>
      </c>
      <c r="J138" s="88">
        <f t="shared" si="24"/>
        <v>184956.25840809403</v>
      </c>
      <c r="K138" s="88">
        <f>IF(N137=0,0,IF(N137&lt;BondCalculator!$B$12+BondCalculator!$B$7,N137+L138,BondCalculator!$B$12+BondCalculator!$B$7))</f>
        <v>11816.433869864442</v>
      </c>
      <c r="L138" s="88">
        <f>J138*BondCalculator!$B$5/12</f>
        <v>1579.834707235803</v>
      </c>
      <c r="M138" s="88">
        <f t="shared" si="25"/>
        <v>10236.59916262864</v>
      </c>
      <c r="N138" s="88">
        <f t="shared" si="18"/>
        <v>174719.6592454654</v>
      </c>
      <c r="P138" s="88">
        <f t="shared" si="19"/>
        <v>4251.80266409942</v>
      </c>
      <c r="Q138" s="89">
        <f>-PV(BondCalculator!$B$9/12,B138,0,1,0)</f>
        <v>0.5100134893078812</v>
      </c>
      <c r="S138" s="90">
        <f t="shared" si="20"/>
        <v>2168.4767125658905</v>
      </c>
    </row>
    <row r="139" spans="1:19" ht="15" customHeight="1">
      <c r="A139" s="85" t="s">
        <v>109</v>
      </c>
      <c r="B139" s="96">
        <v>136</v>
      </c>
      <c r="C139" s="86">
        <f t="shared" si="26"/>
        <v>678743.4811212043</v>
      </c>
      <c r="D139" s="86">
        <f>IF(G138=0,0,IF(G138&lt;BondCalculator!$B$12,G138+E139,BondCalculator!$B$12))</f>
        <v>9816.433869864442</v>
      </c>
      <c r="E139" s="86">
        <f>C139*BondCalculator!$B$5/12</f>
        <v>5797.600567910286</v>
      </c>
      <c r="F139" s="86">
        <f t="shared" si="21"/>
        <v>4018.833301954156</v>
      </c>
      <c r="G139" s="86">
        <f t="shared" si="22"/>
        <v>674724.6478192501</v>
      </c>
      <c r="H139" s="98">
        <f t="shared" si="23"/>
        <v>0.6747246478192501</v>
      </c>
      <c r="J139" s="88">
        <f t="shared" si="24"/>
        <v>174719.6592454654</v>
      </c>
      <c r="K139" s="88">
        <f>IF(N138=0,0,IF(N138&lt;BondCalculator!$B$12+BondCalculator!$B$7,N138+L139,BondCalculator!$B$12+BondCalculator!$B$7))</f>
        <v>11816.433869864442</v>
      </c>
      <c r="L139" s="88">
        <f>J139*BondCalculator!$B$5/12</f>
        <v>1492.39708938835</v>
      </c>
      <c r="M139" s="88">
        <f t="shared" si="25"/>
        <v>10324.036780476092</v>
      </c>
      <c r="N139" s="88">
        <f t="shared" si="18"/>
        <v>164395.62246498928</v>
      </c>
      <c r="P139" s="88">
        <f t="shared" si="19"/>
        <v>4305.203478521937</v>
      </c>
      <c r="Q139" s="89">
        <f>-PV(BondCalculator!$B$9/12,B139,0,1,0)</f>
        <v>0.5074761087640608</v>
      </c>
      <c r="S139" s="90">
        <f t="shared" si="20"/>
        <v>2184.787908717811</v>
      </c>
    </row>
    <row r="140" spans="1:19" ht="15" customHeight="1">
      <c r="A140" s="85" t="s">
        <v>109</v>
      </c>
      <c r="B140" s="96">
        <v>137</v>
      </c>
      <c r="C140" s="86">
        <f t="shared" si="26"/>
        <v>674724.6478192501</v>
      </c>
      <c r="D140" s="86">
        <f>IF(G139=0,0,IF(G139&lt;BondCalculator!$B$12,G139+E140,BondCalculator!$B$12))</f>
        <v>9816.433869864442</v>
      </c>
      <c r="E140" s="86">
        <f>C140*BondCalculator!$B$5/12</f>
        <v>5763.273033456095</v>
      </c>
      <c r="F140" s="86">
        <f t="shared" si="21"/>
        <v>4053.1608364083477</v>
      </c>
      <c r="G140" s="86">
        <f t="shared" si="22"/>
        <v>670671.4869828417</v>
      </c>
      <c r="H140" s="98">
        <f t="shared" si="23"/>
        <v>0.6706714869828417</v>
      </c>
      <c r="J140" s="88">
        <f t="shared" si="24"/>
        <v>164395.62246498928</v>
      </c>
      <c r="K140" s="88">
        <f>IF(N139=0,0,IF(N139&lt;BondCalculator!$B$12+BondCalculator!$B$7,N139+L140,BondCalculator!$B$12+BondCalculator!$B$7))</f>
        <v>11816.433869864442</v>
      </c>
      <c r="L140" s="88">
        <f>J140*BondCalculator!$B$5/12</f>
        <v>1404.2126085551165</v>
      </c>
      <c r="M140" s="88">
        <f t="shared" si="25"/>
        <v>10412.221261309325</v>
      </c>
      <c r="N140" s="88">
        <f t="shared" si="18"/>
        <v>153983.40120367997</v>
      </c>
      <c r="P140" s="88">
        <f t="shared" si="19"/>
        <v>4359.060424900978</v>
      </c>
      <c r="Q140" s="89">
        <f>-PV(BondCalculator!$B$9/12,B140,0,1,0)</f>
        <v>0.5049513520040406</v>
      </c>
      <c r="S140" s="90">
        <f t="shared" si="20"/>
        <v>2201.113455021057</v>
      </c>
    </row>
    <row r="141" spans="1:19" ht="15" customHeight="1">
      <c r="A141" s="85" t="s">
        <v>109</v>
      </c>
      <c r="B141" s="96">
        <v>138</v>
      </c>
      <c r="C141" s="86">
        <f t="shared" si="26"/>
        <v>670671.4869828417</v>
      </c>
      <c r="D141" s="86">
        <f>IF(G140=0,0,IF(G140&lt;BondCalculator!$B$12,G140+E141,BondCalculator!$B$12))</f>
        <v>9816.433869864442</v>
      </c>
      <c r="E141" s="86">
        <f>C141*BondCalculator!$B$5/12</f>
        <v>5728.652284645107</v>
      </c>
      <c r="F141" s="86">
        <f t="shared" si="21"/>
        <v>4087.7815852193353</v>
      </c>
      <c r="G141" s="86">
        <f t="shared" si="22"/>
        <v>666583.7053976224</v>
      </c>
      <c r="H141" s="98">
        <f t="shared" si="23"/>
        <v>0.6665837053976225</v>
      </c>
      <c r="J141" s="88">
        <f t="shared" si="24"/>
        <v>153983.40120367997</v>
      </c>
      <c r="K141" s="88">
        <f>IF(N140=0,0,IF(N140&lt;BondCalculator!$B$12+BondCalculator!$B$7,N140+L141,BondCalculator!$B$12+BondCalculator!$B$7))</f>
        <v>11816.433869864442</v>
      </c>
      <c r="L141" s="88">
        <f>J141*BondCalculator!$B$5/12</f>
        <v>1315.274885281433</v>
      </c>
      <c r="M141" s="88">
        <f t="shared" si="25"/>
        <v>10501.15898458301</v>
      </c>
      <c r="N141" s="88">
        <f t="shared" si="18"/>
        <v>143482.24221909695</v>
      </c>
      <c r="P141" s="88">
        <f t="shared" si="19"/>
        <v>4413.377399363674</v>
      </c>
      <c r="Q141" s="89">
        <f>-PV(BondCalculator!$B$9/12,B141,0,1,0)</f>
        <v>0.5024391562229261</v>
      </c>
      <c r="S141" s="90">
        <f t="shared" si="20"/>
        <v>2217.4536166296166</v>
      </c>
    </row>
    <row r="142" spans="1:19" ht="15" customHeight="1">
      <c r="A142" s="85" t="s">
        <v>109</v>
      </c>
      <c r="B142" s="96">
        <v>139</v>
      </c>
      <c r="C142" s="86">
        <f t="shared" si="26"/>
        <v>666583.7053976224</v>
      </c>
      <c r="D142" s="86">
        <f>IF(G141=0,0,IF(G141&lt;BondCalculator!$B$12,G141+E142,BondCalculator!$B$12))</f>
        <v>9816.433869864442</v>
      </c>
      <c r="E142" s="86">
        <f>C142*BondCalculator!$B$5/12</f>
        <v>5693.735816938024</v>
      </c>
      <c r="F142" s="86">
        <f t="shared" si="21"/>
        <v>4122.698052926418</v>
      </c>
      <c r="G142" s="86">
        <f t="shared" si="22"/>
        <v>662461.007344696</v>
      </c>
      <c r="H142" s="98">
        <f t="shared" si="23"/>
        <v>0.6624610073446959</v>
      </c>
      <c r="J142" s="88">
        <f t="shared" si="24"/>
        <v>143482.24221909695</v>
      </c>
      <c r="K142" s="88">
        <f>IF(N141=0,0,IF(N141&lt;BondCalculator!$B$12+BondCalculator!$B$7,N141+L142,BondCalculator!$B$12+BondCalculator!$B$7))</f>
        <v>11816.433869864442</v>
      </c>
      <c r="L142" s="88">
        <f>J142*BondCalculator!$B$5/12</f>
        <v>1225.5774856214532</v>
      </c>
      <c r="M142" s="88">
        <f t="shared" si="25"/>
        <v>10590.856384242988</v>
      </c>
      <c r="N142" s="88">
        <f t="shared" si="18"/>
        <v>132891.38583485395</v>
      </c>
      <c r="P142" s="88">
        <f t="shared" si="19"/>
        <v>4468.158331316571</v>
      </c>
      <c r="Q142" s="89">
        <f>-PV(BondCalculator!$B$9/12,B142,0,1,0)</f>
        <v>0.49993945892828473</v>
      </c>
      <c r="S142" s="90">
        <f t="shared" si="20"/>
        <v>2233.808658564314</v>
      </c>
    </row>
    <row r="143" spans="1:19" ht="15" customHeight="1">
      <c r="A143" s="85" t="s">
        <v>109</v>
      </c>
      <c r="B143" s="96">
        <v>140</v>
      </c>
      <c r="C143" s="86">
        <f t="shared" si="26"/>
        <v>662461.007344696</v>
      </c>
      <c r="D143" s="86">
        <f>IF(G142=0,0,IF(G142&lt;BondCalculator!$B$12,G142+E143,BondCalculator!$B$12))</f>
        <v>9816.433869864442</v>
      </c>
      <c r="E143" s="86">
        <f>C143*BondCalculator!$B$5/12</f>
        <v>5658.521104402611</v>
      </c>
      <c r="F143" s="86">
        <f t="shared" si="21"/>
        <v>4157.912765461831</v>
      </c>
      <c r="G143" s="86">
        <f t="shared" si="22"/>
        <v>658303.0945792341</v>
      </c>
      <c r="H143" s="98">
        <f t="shared" si="23"/>
        <v>0.6583030945792341</v>
      </c>
      <c r="J143" s="88">
        <f t="shared" si="24"/>
        <v>132891.38583485395</v>
      </c>
      <c r="K143" s="88">
        <f>IF(N142=0,0,IF(N142&lt;BondCalculator!$B$12+BondCalculator!$B$7,N142+L143,BondCalculator!$B$12+BondCalculator!$B$7))</f>
        <v>11816.433869864442</v>
      </c>
      <c r="L143" s="88">
        <f>J143*BondCalculator!$B$5/12</f>
        <v>1135.1139206727107</v>
      </c>
      <c r="M143" s="88">
        <f t="shared" si="25"/>
        <v>10681.319949191731</v>
      </c>
      <c r="N143" s="88">
        <f t="shared" si="18"/>
        <v>122210.06588566222</v>
      </c>
      <c r="P143" s="88">
        <f t="shared" si="19"/>
        <v>4523.4071837299</v>
      </c>
      <c r="Q143" s="89">
        <f>-PV(BondCalculator!$B$9/12,B143,0,1,0)</f>
        <v>0.4974521979385919</v>
      </c>
      <c r="S143" s="90">
        <f t="shared" si="20"/>
        <v>2250.178845717655</v>
      </c>
    </row>
    <row r="144" spans="1:19" ht="15" customHeight="1">
      <c r="A144" s="85" t="s">
        <v>109</v>
      </c>
      <c r="B144" s="96">
        <v>141</v>
      </c>
      <c r="C144" s="86">
        <f t="shared" si="26"/>
        <v>658303.0945792341</v>
      </c>
      <c r="D144" s="86">
        <f>IF(G143=0,0,IF(G143&lt;BondCalculator!$B$12,G143+E144,BondCalculator!$B$12))</f>
        <v>9816.433869864442</v>
      </c>
      <c r="E144" s="86">
        <f>C144*BondCalculator!$B$5/12</f>
        <v>5623.0055995309585</v>
      </c>
      <c r="F144" s="86">
        <f t="shared" si="21"/>
        <v>4193.428270333484</v>
      </c>
      <c r="G144" s="86">
        <f t="shared" si="22"/>
        <v>654109.6663089007</v>
      </c>
      <c r="H144" s="98">
        <f t="shared" si="23"/>
        <v>0.6541096663089007</v>
      </c>
      <c r="J144" s="88">
        <f t="shared" si="24"/>
        <v>122210.06588566222</v>
      </c>
      <c r="K144" s="88">
        <f>IF(N143=0,0,IF(N143&lt;BondCalculator!$B$12+BondCalculator!$B$7,N143+L144,BondCalculator!$B$12+BondCalculator!$B$7))</f>
        <v>11816.433869864442</v>
      </c>
      <c r="L144" s="88">
        <f>J144*BondCalculator!$B$5/12</f>
        <v>1043.877646106698</v>
      </c>
      <c r="M144" s="88">
        <f t="shared" si="25"/>
        <v>10772.556223757745</v>
      </c>
      <c r="N144" s="88">
        <f t="shared" si="18"/>
        <v>111437.50966190448</v>
      </c>
      <c r="P144" s="88">
        <f t="shared" si="19"/>
        <v>4579.12795342426</v>
      </c>
      <c r="Q144" s="89">
        <f>-PV(BondCalculator!$B$9/12,B144,0,1,0)</f>
        <v>0.4949773113816836</v>
      </c>
      <c r="S144" s="90">
        <f t="shared" si="20"/>
        <v>2266.5644428586515</v>
      </c>
    </row>
    <row r="145" spans="1:19" ht="15" customHeight="1">
      <c r="A145" s="85" t="s">
        <v>109</v>
      </c>
      <c r="B145" s="96">
        <v>142</v>
      </c>
      <c r="C145" s="86">
        <f t="shared" si="26"/>
        <v>654109.6663089007</v>
      </c>
      <c r="D145" s="86">
        <f>IF(G144=0,0,IF(G144&lt;BondCalculator!$B$12,G144+E145,BondCalculator!$B$12))</f>
        <v>9816.433869864442</v>
      </c>
      <c r="E145" s="86">
        <f>C145*BondCalculator!$B$5/12</f>
        <v>5587.186733055193</v>
      </c>
      <c r="F145" s="86">
        <f t="shared" si="21"/>
        <v>4229.247136809249</v>
      </c>
      <c r="G145" s="86">
        <f t="shared" si="22"/>
        <v>649880.4191720914</v>
      </c>
      <c r="H145" s="98">
        <f t="shared" si="23"/>
        <v>0.6498804191720914</v>
      </c>
      <c r="J145" s="88">
        <f t="shared" si="24"/>
        <v>111437.50966190448</v>
      </c>
      <c r="K145" s="88">
        <f>IF(N144=0,0,IF(N144&lt;BondCalculator!$B$12+BondCalculator!$B$7,N144+L145,BondCalculator!$B$12+BondCalculator!$B$7))</f>
        <v>11816.433869864442</v>
      </c>
      <c r="L145" s="88">
        <f>J145*BondCalculator!$B$5/12</f>
        <v>951.862061695434</v>
      </c>
      <c r="M145" s="88">
        <f t="shared" si="25"/>
        <v>10864.571808169008</v>
      </c>
      <c r="N145" s="88">
        <f t="shared" si="18"/>
        <v>100572.93785373546</v>
      </c>
      <c r="P145" s="88">
        <f t="shared" si="19"/>
        <v>4635.324671359759</v>
      </c>
      <c r="Q145" s="89">
        <f>-PV(BondCalculator!$B$9/12,B145,0,1,0)</f>
        <v>0.4925147376932176</v>
      </c>
      <c r="S145" s="90">
        <f t="shared" si="20"/>
        <v>2282.9657146376517</v>
      </c>
    </row>
    <row r="146" spans="1:19" ht="15" customHeight="1">
      <c r="A146" s="85" t="s">
        <v>109</v>
      </c>
      <c r="B146" s="96">
        <v>143</v>
      </c>
      <c r="C146" s="86">
        <f t="shared" si="26"/>
        <v>649880.4191720914</v>
      </c>
      <c r="D146" s="86">
        <f>IF(G145=0,0,IF(G145&lt;BondCalculator!$B$12,G145+E146,BondCalculator!$B$12))</f>
        <v>9816.433869864442</v>
      </c>
      <c r="E146" s="86">
        <f>C146*BondCalculator!$B$5/12</f>
        <v>5551.061913761613</v>
      </c>
      <c r="F146" s="86">
        <f t="shared" si="21"/>
        <v>4265.371956102829</v>
      </c>
      <c r="G146" s="86">
        <f t="shared" si="22"/>
        <v>645615.0472159886</v>
      </c>
      <c r="H146" s="98">
        <f t="shared" si="23"/>
        <v>0.6456150472159886</v>
      </c>
      <c r="J146" s="88">
        <f t="shared" si="24"/>
        <v>100572.93785373546</v>
      </c>
      <c r="K146" s="88">
        <f>IF(N145=0,0,IF(N145&lt;BondCalculator!$B$12+BondCalculator!$B$7,N145+L146,BondCalculator!$B$12+BondCalculator!$B$7))</f>
        <v>11816.433869864442</v>
      </c>
      <c r="L146" s="88">
        <f>J146*BondCalculator!$B$5/12</f>
        <v>859.0605108339904</v>
      </c>
      <c r="M146" s="88">
        <f t="shared" si="25"/>
        <v>10957.373359030453</v>
      </c>
      <c r="N146" s="88">
        <f t="shared" si="18"/>
        <v>89615.56449470502</v>
      </c>
      <c r="P146" s="88">
        <f t="shared" si="19"/>
        <v>4692.001402927623</v>
      </c>
      <c r="Q146" s="89">
        <f>-PV(BondCalculator!$B$9/12,B146,0,1,0)</f>
        <v>0.49006441561514197</v>
      </c>
      <c r="S146" s="90">
        <f t="shared" si="20"/>
        <v>2299.3829255911514</v>
      </c>
    </row>
    <row r="147" spans="1:19" ht="15" customHeight="1">
      <c r="A147" s="85" t="s">
        <v>109</v>
      </c>
      <c r="B147" s="96">
        <v>144</v>
      </c>
      <c r="C147" s="86">
        <f t="shared" si="26"/>
        <v>645615.0472159886</v>
      </c>
      <c r="D147" s="86">
        <f>IF(G146=0,0,IF(G146&lt;BondCalculator!$B$12,G146+E147,BondCalculator!$B$12))</f>
        <v>9816.433869864442</v>
      </c>
      <c r="E147" s="86">
        <f>C147*BondCalculator!$B$5/12</f>
        <v>5514.628528303237</v>
      </c>
      <c r="F147" s="86">
        <f t="shared" si="21"/>
        <v>4301.805341561206</v>
      </c>
      <c r="G147" s="86">
        <f t="shared" si="22"/>
        <v>641313.2418744274</v>
      </c>
      <c r="H147" s="98">
        <f t="shared" si="23"/>
        <v>0.6413132418744274</v>
      </c>
      <c r="J147" s="88">
        <f t="shared" si="24"/>
        <v>89615.56449470502</v>
      </c>
      <c r="K147" s="88">
        <f>IF(N146=0,0,IF(N146&lt;BondCalculator!$B$12+BondCalculator!$B$7,N146+L147,BondCalculator!$B$12+BondCalculator!$B$7))</f>
        <v>11816.433869864442</v>
      </c>
      <c r="L147" s="88">
        <f>J147*BondCalculator!$B$5/12</f>
        <v>765.4662800589387</v>
      </c>
      <c r="M147" s="88">
        <f t="shared" si="25"/>
        <v>11050.967589805503</v>
      </c>
      <c r="N147" s="88">
        <f t="shared" si="18"/>
        <v>78564.59690489952</v>
      </c>
      <c r="P147" s="88">
        <f t="shared" si="19"/>
        <v>4749.162248244298</v>
      </c>
      <c r="Q147" s="89">
        <f>-PV(BondCalculator!$B$9/12,B147,0,1,0)</f>
        <v>0.4876262841941712</v>
      </c>
      <c r="S147" s="90">
        <f t="shared" si="20"/>
        <v>2315.816340146603</v>
      </c>
    </row>
    <row r="148" spans="1:19" ht="15" customHeight="1">
      <c r="A148" s="85" t="s">
        <v>110</v>
      </c>
      <c r="B148" s="96">
        <v>145</v>
      </c>
      <c r="C148" s="86">
        <f t="shared" si="26"/>
        <v>641313.2418744274</v>
      </c>
      <c r="D148" s="86">
        <f>IF(G147=0,0,IF(G147&lt;BondCalculator!$B$12,G147+E148,BondCalculator!$B$12))</f>
        <v>9816.433869864442</v>
      </c>
      <c r="E148" s="86">
        <f>C148*BondCalculator!$B$5/12</f>
        <v>5477.883941010733</v>
      </c>
      <c r="F148" s="86">
        <f t="shared" si="21"/>
        <v>4338.549928853709</v>
      </c>
      <c r="G148" s="86">
        <f t="shared" si="22"/>
        <v>636974.6919455737</v>
      </c>
      <c r="H148" s="98">
        <f t="shared" si="23"/>
        <v>0.6369746919455737</v>
      </c>
      <c r="J148" s="88">
        <f t="shared" si="24"/>
        <v>78564.59690489952</v>
      </c>
      <c r="K148" s="88">
        <f>IF(N147=0,0,IF(N147&lt;BondCalculator!$B$12+BondCalculator!$B$7,N147+L148,BondCalculator!$B$12+BondCalculator!$B$7))</f>
        <v>11816.433869864442</v>
      </c>
      <c r="L148" s="88">
        <f>J148*BondCalculator!$B$5/12</f>
        <v>671.0725985626833</v>
      </c>
      <c r="M148" s="88">
        <f t="shared" si="25"/>
        <v>11145.36127130176</v>
      </c>
      <c r="N148" s="88">
        <f t="shared" si="18"/>
        <v>67419.23563359775</v>
      </c>
      <c r="P148" s="88">
        <f t="shared" si="19"/>
        <v>4806.81134244805</v>
      </c>
      <c r="Q148" s="89">
        <f>-PV(BondCalculator!$B$9/12,B148,0,1,0)</f>
        <v>0.4852002827802698</v>
      </c>
      <c r="S148" s="90">
        <f t="shared" si="20"/>
        <v>2332.266222627202</v>
      </c>
    </row>
    <row r="149" spans="1:19" ht="15" customHeight="1">
      <c r="A149" s="85" t="s">
        <v>110</v>
      </c>
      <c r="B149" s="96">
        <v>146</v>
      </c>
      <c r="C149" s="86">
        <f t="shared" si="26"/>
        <v>636974.6919455737</v>
      </c>
      <c r="D149" s="86">
        <f>IF(G148=0,0,IF(G148&lt;BondCalculator!$B$12,G148+E149,BondCalculator!$B$12))</f>
        <v>9816.433869864442</v>
      </c>
      <c r="E149" s="86">
        <f>C149*BondCalculator!$B$5/12</f>
        <v>5440.825493701775</v>
      </c>
      <c r="F149" s="86">
        <f t="shared" si="21"/>
        <v>4375.608376162668</v>
      </c>
      <c r="G149" s="86">
        <f t="shared" si="22"/>
        <v>632599.083569411</v>
      </c>
      <c r="H149" s="98">
        <f t="shared" si="23"/>
        <v>0.632599083569411</v>
      </c>
      <c r="J149" s="88">
        <f t="shared" si="24"/>
        <v>67419.23563359775</v>
      </c>
      <c r="K149" s="88">
        <f>IF(N148=0,0,IF(N148&lt;BondCalculator!$B$12+BondCalculator!$B$7,N148+L149,BondCalculator!$B$12+BondCalculator!$B$7))</f>
        <v>11816.433869864442</v>
      </c>
      <c r="L149" s="88">
        <f>J149*BondCalculator!$B$5/12</f>
        <v>575.8726377036475</v>
      </c>
      <c r="M149" s="88">
        <f t="shared" si="25"/>
        <v>11240.561232160795</v>
      </c>
      <c r="N149" s="88">
        <f t="shared" si="18"/>
        <v>56178.67440143696</v>
      </c>
      <c r="P149" s="88">
        <f t="shared" si="19"/>
        <v>4864.952855998127</v>
      </c>
      <c r="Q149" s="89">
        <f>-PV(BondCalculator!$B$9/12,B149,0,1,0)</f>
        <v>0.48278635102514433</v>
      </c>
      <c r="S149" s="90">
        <f t="shared" si="20"/>
        <v>2348.7328372566903</v>
      </c>
    </row>
    <row r="150" spans="1:19" ht="15" customHeight="1">
      <c r="A150" s="85" t="s">
        <v>110</v>
      </c>
      <c r="B150" s="96">
        <v>147</v>
      </c>
      <c r="C150" s="86">
        <f t="shared" si="26"/>
        <v>632599.083569411</v>
      </c>
      <c r="D150" s="86">
        <f>IF(G149=0,0,IF(G149&lt;BondCalculator!$B$12,G149+E150,BondCalculator!$B$12))</f>
        <v>9816.433869864442</v>
      </c>
      <c r="E150" s="86">
        <f>C150*BondCalculator!$B$5/12</f>
        <v>5403.450505488719</v>
      </c>
      <c r="F150" s="86">
        <f t="shared" si="21"/>
        <v>4412.983364375724</v>
      </c>
      <c r="G150" s="86">
        <f t="shared" si="22"/>
        <v>628186.1002050352</v>
      </c>
      <c r="H150" s="98">
        <f t="shared" si="23"/>
        <v>0.6281861002050352</v>
      </c>
      <c r="J150" s="88">
        <f t="shared" si="24"/>
        <v>56178.67440143696</v>
      </c>
      <c r="K150" s="88">
        <f>IF(N149=0,0,IF(N149&lt;BondCalculator!$B$12+BondCalculator!$B$7,N149+L150,BondCalculator!$B$12+BondCalculator!$B$7))</f>
        <v>11816.433869864442</v>
      </c>
      <c r="L150" s="88">
        <f>J150*BondCalculator!$B$5/12</f>
        <v>479.859510512274</v>
      </c>
      <c r="M150" s="88">
        <f t="shared" si="25"/>
        <v>11336.57435935217</v>
      </c>
      <c r="N150" s="88">
        <f t="shared" si="18"/>
        <v>44842.10004208479</v>
      </c>
      <c r="P150" s="88">
        <f t="shared" si="19"/>
        <v>4923.590994976445</v>
      </c>
      <c r="Q150" s="89">
        <f>-PV(BondCalculator!$B$9/12,B150,0,1,0)</f>
        <v>0.4803844288807407</v>
      </c>
      <c r="S150" s="90">
        <f t="shared" si="20"/>
        <v>2365.216448164117</v>
      </c>
    </row>
    <row r="151" spans="1:19" ht="15" customHeight="1">
      <c r="A151" s="85" t="s">
        <v>110</v>
      </c>
      <c r="B151" s="96">
        <v>148</v>
      </c>
      <c r="C151" s="86">
        <f t="shared" si="26"/>
        <v>628186.1002050352</v>
      </c>
      <c r="D151" s="86">
        <f>IF(G150=0,0,IF(G150&lt;BondCalculator!$B$12,G150+E151,BondCalculator!$B$12))</f>
        <v>9816.433869864442</v>
      </c>
      <c r="E151" s="86">
        <f>C151*BondCalculator!$B$5/12</f>
        <v>5365.756272584676</v>
      </c>
      <c r="F151" s="86">
        <f t="shared" si="21"/>
        <v>4450.677597279767</v>
      </c>
      <c r="G151" s="86">
        <f t="shared" si="22"/>
        <v>623735.4226077554</v>
      </c>
      <c r="H151" s="98">
        <f t="shared" si="23"/>
        <v>0.6237354226077554</v>
      </c>
      <c r="J151" s="88">
        <f t="shared" si="24"/>
        <v>44842.10004208479</v>
      </c>
      <c r="K151" s="88">
        <f>IF(N150=0,0,IF(N150&lt;BondCalculator!$B$12+BondCalculator!$B$7,N150+L151,BondCalculator!$B$12+BondCalculator!$B$7))</f>
        <v>11816.433869864442</v>
      </c>
      <c r="L151" s="88">
        <f>J151*BondCalculator!$B$5/12</f>
        <v>383.0262711928076</v>
      </c>
      <c r="M151" s="88">
        <f t="shared" si="25"/>
        <v>11433.407598671634</v>
      </c>
      <c r="N151" s="88">
        <f t="shared" si="18"/>
        <v>33408.69244341316</v>
      </c>
      <c r="P151" s="88">
        <f t="shared" si="19"/>
        <v>4982.730001391868</v>
      </c>
      <c r="Q151" s="89">
        <f>-PV(BondCalculator!$B$9/12,B151,0,1,0)</f>
        <v>0.47799445659775197</v>
      </c>
      <c r="S151" s="90">
        <f t="shared" si="20"/>
        <v>2381.717319388622</v>
      </c>
    </row>
    <row r="152" spans="1:19" ht="15" customHeight="1">
      <c r="A152" s="85" t="s">
        <v>110</v>
      </c>
      <c r="B152" s="96">
        <v>149</v>
      </c>
      <c r="C152" s="86">
        <f t="shared" si="26"/>
        <v>623735.4226077554</v>
      </c>
      <c r="D152" s="86">
        <f>IF(G151=0,0,IF(G151&lt;BondCalculator!$B$12,G151+E152,BondCalculator!$B$12))</f>
        <v>9816.433869864442</v>
      </c>
      <c r="E152" s="86">
        <f>C152*BondCalculator!$B$5/12</f>
        <v>5327.740068107911</v>
      </c>
      <c r="F152" s="86">
        <f t="shared" si="21"/>
        <v>4488.693801756532</v>
      </c>
      <c r="G152" s="86">
        <f t="shared" si="22"/>
        <v>619246.7288059989</v>
      </c>
      <c r="H152" s="98">
        <f t="shared" si="23"/>
        <v>0.619246728805999</v>
      </c>
      <c r="J152" s="88">
        <f t="shared" si="24"/>
        <v>33408.69244341316</v>
      </c>
      <c r="K152" s="88">
        <f>IF(N151=0,0,IF(N151&lt;BondCalculator!$B$12+BondCalculator!$B$7,N151+L152,BondCalculator!$B$12+BondCalculator!$B$7))</f>
        <v>11816.433869864442</v>
      </c>
      <c r="L152" s="88">
        <f>J152*BondCalculator!$B$5/12</f>
        <v>285.3659146208207</v>
      </c>
      <c r="M152" s="88">
        <f t="shared" si="25"/>
        <v>11531.067955243621</v>
      </c>
      <c r="N152" s="88">
        <f t="shared" si="18"/>
        <v>21877.62448816954</v>
      </c>
      <c r="P152" s="88">
        <f t="shared" si="19"/>
        <v>5042.37415348709</v>
      </c>
      <c r="Q152" s="89">
        <f>-PV(BondCalculator!$B$9/12,B152,0,1,0)</f>
        <v>0.4756163747241314</v>
      </c>
      <c r="S152" s="90">
        <f t="shared" si="20"/>
        <v>2398.23571488419</v>
      </c>
    </row>
    <row r="153" spans="1:19" ht="15" customHeight="1">
      <c r="A153" s="85" t="s">
        <v>110</v>
      </c>
      <c r="B153" s="96">
        <v>150</v>
      </c>
      <c r="C153" s="86">
        <f t="shared" si="26"/>
        <v>619246.7288059989</v>
      </c>
      <c r="D153" s="86">
        <f>IF(G152=0,0,IF(G152&lt;BondCalculator!$B$12,G152+E153,BondCalculator!$B$12))</f>
        <v>9816.433869864442</v>
      </c>
      <c r="E153" s="86">
        <f>C153*BondCalculator!$B$5/12</f>
        <v>5289.3991418845735</v>
      </c>
      <c r="F153" s="86">
        <f t="shared" si="21"/>
        <v>4527.034727979869</v>
      </c>
      <c r="G153" s="86">
        <f t="shared" si="22"/>
        <v>614719.694078019</v>
      </c>
      <c r="H153" s="98">
        <f t="shared" si="23"/>
        <v>0.614719694078019</v>
      </c>
      <c r="J153" s="88">
        <f t="shared" si="24"/>
        <v>21877.62448816954</v>
      </c>
      <c r="K153" s="88">
        <f>IF(N152=0,0,IF(N152&lt;BondCalculator!$B$12+BondCalculator!$B$7,N152+L153,BondCalculator!$B$12+BondCalculator!$B$7))</f>
        <v>11816.433869864442</v>
      </c>
      <c r="L153" s="88">
        <f>J153*BondCalculator!$B$5/12</f>
        <v>186.87137583644812</v>
      </c>
      <c r="M153" s="88">
        <f t="shared" si="25"/>
        <v>11629.562494027994</v>
      </c>
      <c r="N153" s="88">
        <f t="shared" si="18"/>
        <v>10248.061994141544</v>
      </c>
      <c r="P153" s="88">
        <f t="shared" si="19"/>
        <v>5102.527766048125</v>
      </c>
      <c r="Q153" s="89">
        <f>-PV(BondCalculator!$B$9/12,B153,0,1,0)</f>
        <v>0.4732501241036134</v>
      </c>
      <c r="S153" s="90">
        <f t="shared" si="20"/>
        <v>2414.7718985244082</v>
      </c>
    </row>
    <row r="154" spans="1:19" ht="15" customHeight="1">
      <c r="A154" s="85" t="s">
        <v>110</v>
      </c>
      <c r="B154" s="96">
        <v>151</v>
      </c>
      <c r="C154" s="86">
        <f t="shared" si="26"/>
        <v>614719.694078019</v>
      </c>
      <c r="D154" s="86">
        <f>IF(G153=0,0,IF(G153&lt;BondCalculator!$B$12,G153+E154,BondCalculator!$B$12))</f>
        <v>9816.433869864442</v>
      </c>
      <c r="E154" s="86">
        <f>C154*BondCalculator!$B$5/12</f>
        <v>5250.730720249746</v>
      </c>
      <c r="F154" s="86">
        <f t="shared" si="21"/>
        <v>4565.7031496146965</v>
      </c>
      <c r="G154" s="86">
        <f t="shared" si="22"/>
        <v>610153.9909284043</v>
      </c>
      <c r="H154" s="98">
        <f t="shared" si="23"/>
        <v>0.6101539909284043</v>
      </c>
      <c r="J154" s="88">
        <f t="shared" si="24"/>
        <v>10248.061994141544</v>
      </c>
      <c r="K154" s="88">
        <f>IF(N153=0,0,IF(N153&lt;BondCalculator!$B$12+BondCalculator!$B$7,N153+L154,BondCalculator!$B$12+BondCalculator!$B$7))</f>
        <v>10335.597523674836</v>
      </c>
      <c r="L154" s="88">
        <f>J154*BondCalculator!$B$5/12</f>
        <v>87.53552953329235</v>
      </c>
      <c r="M154" s="88">
        <f t="shared" si="25"/>
        <v>10248.061994141544</v>
      </c>
      <c r="N154" s="88">
        <f t="shared" si="18"/>
        <v>0</v>
      </c>
      <c r="P154" s="88">
        <f t="shared" si="19"/>
        <v>5163.195190716454</v>
      </c>
      <c r="Q154" s="89">
        <f>-PV(BondCalculator!$B$9/12,B154,0,1,0)</f>
        <v>0.47089564587424226</v>
      </c>
      <c r="S154" s="90">
        <f t="shared" si="20"/>
        <v>2431.326134107206</v>
      </c>
    </row>
    <row r="155" spans="1:19" ht="15" customHeight="1">
      <c r="A155" s="85" t="s">
        <v>110</v>
      </c>
      <c r="B155" s="96">
        <v>152</v>
      </c>
      <c r="C155" s="86">
        <f t="shared" si="26"/>
        <v>610153.9909284043</v>
      </c>
      <c r="D155" s="86">
        <f>IF(G154=0,0,IF(G154&lt;BondCalculator!$B$12,G154+E155,BondCalculator!$B$12))</f>
        <v>9816.433869864442</v>
      </c>
      <c r="E155" s="86">
        <f>C155*BondCalculator!$B$5/12</f>
        <v>5211.732005846786</v>
      </c>
      <c r="F155" s="86">
        <f t="shared" si="21"/>
        <v>4604.701864017657</v>
      </c>
      <c r="G155" s="86">
        <f t="shared" si="22"/>
        <v>605549.2890643866</v>
      </c>
      <c r="H155" s="98">
        <f t="shared" si="23"/>
        <v>0.6055492890643867</v>
      </c>
      <c r="J155" s="88">
        <f t="shared" si="24"/>
        <v>0</v>
      </c>
      <c r="K155" s="88">
        <f>IF(N154=0,0,IF(N154&lt;BondCalculator!$B$12+BondCalculator!$B$7,N154+L155,BondCalculator!$B$12+BondCalculator!$B$7))</f>
        <v>0</v>
      </c>
      <c r="L155" s="88">
        <f>J155*BondCalculator!$B$5/12</f>
        <v>0</v>
      </c>
      <c r="M155" s="88">
        <f t="shared" si="25"/>
        <v>0</v>
      </c>
      <c r="N155" s="88">
        <f t="shared" si="18"/>
        <v>0</v>
      </c>
      <c r="P155" s="88">
        <f t="shared" si="19"/>
        <v>5211.732005846786</v>
      </c>
      <c r="Q155" s="89">
        <f>-PV(BondCalculator!$B$9/12,B155,0,1,0)</f>
        <v>0.46855288146690766</v>
      </c>
      <c r="S155" s="90">
        <f t="shared" si="20"/>
        <v>2441.9720487728177</v>
      </c>
    </row>
    <row r="156" spans="1:19" ht="15" customHeight="1">
      <c r="A156" s="85" t="s">
        <v>110</v>
      </c>
      <c r="B156" s="96">
        <v>153</v>
      </c>
      <c r="C156" s="86">
        <f t="shared" si="26"/>
        <v>605549.2890643866</v>
      </c>
      <c r="D156" s="86">
        <f>IF(G155=0,0,IF(G155&lt;BondCalculator!$B$12,G155+E156,BondCalculator!$B$12))</f>
        <v>9816.433869864442</v>
      </c>
      <c r="E156" s="86">
        <f>C156*BondCalculator!$B$5/12</f>
        <v>5172.400177424969</v>
      </c>
      <c r="F156" s="86">
        <f t="shared" si="21"/>
        <v>4644.033692439473</v>
      </c>
      <c r="G156" s="86">
        <f t="shared" si="22"/>
        <v>600905.2553719472</v>
      </c>
      <c r="H156" s="98">
        <f t="shared" si="23"/>
        <v>0.6009052553719472</v>
      </c>
      <c r="J156" s="88">
        <f t="shared" si="24"/>
        <v>0</v>
      </c>
      <c r="K156" s="88">
        <f>IF(N155=0,0,IF(N155&lt;BondCalculator!$B$12+BondCalculator!$B$7,N155+L156,BondCalculator!$B$12+BondCalculator!$B$7))</f>
        <v>0</v>
      </c>
      <c r="L156" s="88">
        <f>J156*BondCalculator!$B$5/12</f>
        <v>0</v>
      </c>
      <c r="M156" s="88">
        <f t="shared" si="25"/>
        <v>0</v>
      </c>
      <c r="N156" s="88">
        <f t="shared" si="18"/>
        <v>0</v>
      </c>
      <c r="P156" s="88">
        <f t="shared" si="19"/>
        <v>5172.400177424969</v>
      </c>
      <c r="Q156" s="89">
        <f>-PV(BondCalculator!$B$9/12,B156,0,1,0)</f>
        <v>0.46622177260388836</v>
      </c>
      <c r="S156" s="90">
        <f t="shared" si="20"/>
        <v>2411.4855793357356</v>
      </c>
    </row>
    <row r="157" spans="1:19" ht="15" customHeight="1">
      <c r="A157" s="85" t="s">
        <v>110</v>
      </c>
      <c r="B157" s="96">
        <v>154</v>
      </c>
      <c r="C157" s="86">
        <f t="shared" si="26"/>
        <v>600905.2553719472</v>
      </c>
      <c r="D157" s="86">
        <f>IF(G156=0,0,IF(G156&lt;BondCalculator!$B$12,G156+E157,BondCalculator!$B$12))</f>
        <v>9816.433869864442</v>
      </c>
      <c r="E157" s="86">
        <f>C157*BondCalculator!$B$5/12</f>
        <v>5132.732389635382</v>
      </c>
      <c r="F157" s="86">
        <f t="shared" si="21"/>
        <v>4683.7014802290605</v>
      </c>
      <c r="G157" s="86">
        <f t="shared" si="22"/>
        <v>596221.5538917182</v>
      </c>
      <c r="H157" s="98">
        <f t="shared" si="23"/>
        <v>0.5962215538917182</v>
      </c>
      <c r="J157" s="88">
        <f t="shared" si="24"/>
        <v>0</v>
      </c>
      <c r="K157" s="88">
        <f>IF(N156=0,0,IF(N156&lt;BondCalculator!$B$12+BondCalculator!$B$7,N156+L157,BondCalculator!$B$12+BondCalculator!$B$7))</f>
        <v>0</v>
      </c>
      <c r="L157" s="88">
        <f>J157*BondCalculator!$B$5/12</f>
        <v>0</v>
      </c>
      <c r="M157" s="88">
        <f t="shared" si="25"/>
        <v>0</v>
      </c>
      <c r="N157" s="88">
        <f t="shared" si="18"/>
        <v>0</v>
      </c>
      <c r="P157" s="88">
        <f t="shared" si="19"/>
        <v>5132.732389635382</v>
      </c>
      <c r="Q157" s="89">
        <f>-PV(BondCalculator!$B$9/12,B157,0,1,0)</f>
        <v>0.4639022612974014</v>
      </c>
      <c r="S157" s="90">
        <f t="shared" si="20"/>
        <v>2381.0861621862687</v>
      </c>
    </row>
    <row r="158" spans="1:19" ht="15" customHeight="1">
      <c r="A158" s="85" t="s">
        <v>110</v>
      </c>
      <c r="B158" s="96">
        <v>155</v>
      </c>
      <c r="C158" s="86">
        <f t="shared" si="26"/>
        <v>596221.5538917182</v>
      </c>
      <c r="D158" s="86">
        <f>IF(G157=0,0,IF(G157&lt;BondCalculator!$B$12,G157+E158,BondCalculator!$B$12))</f>
        <v>9816.433869864442</v>
      </c>
      <c r="E158" s="86">
        <f>C158*BondCalculator!$B$5/12</f>
        <v>5092.7257728250925</v>
      </c>
      <c r="F158" s="86">
        <f t="shared" si="21"/>
        <v>4723.70809703935</v>
      </c>
      <c r="G158" s="86">
        <f t="shared" si="22"/>
        <v>591497.8457946788</v>
      </c>
      <c r="H158" s="98">
        <f t="shared" si="23"/>
        <v>0.5914978457946788</v>
      </c>
      <c r="J158" s="88">
        <f t="shared" si="24"/>
        <v>0</v>
      </c>
      <c r="K158" s="88">
        <f>IF(N157=0,0,IF(N157&lt;BondCalculator!$B$12+BondCalculator!$B$7,N157+L158,BondCalculator!$B$12+BondCalculator!$B$7))</f>
        <v>0</v>
      </c>
      <c r="L158" s="88">
        <f>J158*BondCalculator!$B$5/12</f>
        <v>0</v>
      </c>
      <c r="M158" s="88">
        <f t="shared" si="25"/>
        <v>0</v>
      </c>
      <c r="N158" s="88">
        <f t="shared" si="18"/>
        <v>0</v>
      </c>
      <c r="P158" s="88">
        <f t="shared" si="19"/>
        <v>5092.7257728250925</v>
      </c>
      <c r="Q158" s="89">
        <f>-PV(BondCalculator!$B$9/12,B158,0,1,0)</f>
        <v>0.4615942898481607</v>
      </c>
      <c r="S158" s="90">
        <f t="shared" si="20"/>
        <v>2350.773136498624</v>
      </c>
    </row>
    <row r="159" spans="1:19" ht="15" customHeight="1">
      <c r="A159" s="85" t="s">
        <v>110</v>
      </c>
      <c r="B159" s="96">
        <v>156</v>
      </c>
      <c r="C159" s="86">
        <f t="shared" si="26"/>
        <v>591497.8457946788</v>
      </c>
      <c r="D159" s="86">
        <f>IF(G158=0,0,IF(G158&lt;BondCalculator!$B$12,G158+E159,BondCalculator!$B$12))</f>
        <v>9816.433869864442</v>
      </c>
      <c r="E159" s="86">
        <f>C159*BondCalculator!$B$5/12</f>
        <v>5052.377432829548</v>
      </c>
      <c r="F159" s="86">
        <f t="shared" si="21"/>
        <v>4764.056437034895</v>
      </c>
      <c r="G159" s="86">
        <f t="shared" si="22"/>
        <v>586733.7893576439</v>
      </c>
      <c r="H159" s="98">
        <f t="shared" si="23"/>
        <v>0.586733789357644</v>
      </c>
      <c r="J159" s="88">
        <f t="shared" si="24"/>
        <v>0</v>
      </c>
      <c r="K159" s="88">
        <f>IF(N158=0,0,IF(N158&lt;BondCalculator!$B$12+BondCalculator!$B$7,N158+L159,BondCalculator!$B$12+BondCalculator!$B$7))</f>
        <v>0</v>
      </c>
      <c r="L159" s="88">
        <f>J159*BondCalculator!$B$5/12</f>
        <v>0</v>
      </c>
      <c r="M159" s="88">
        <f t="shared" si="25"/>
        <v>0</v>
      </c>
      <c r="N159" s="88">
        <f t="shared" si="18"/>
        <v>0</v>
      </c>
      <c r="P159" s="88">
        <f t="shared" si="19"/>
        <v>5052.377432829548</v>
      </c>
      <c r="Q159" s="89">
        <f>-PV(BondCalculator!$B$9/12,B159,0,1,0)</f>
        <v>0.45929780084394106</v>
      </c>
      <c r="S159" s="90">
        <f t="shared" si="20"/>
        <v>2320.545843932168</v>
      </c>
    </row>
    <row r="160" spans="1:19" ht="15" customHeight="1">
      <c r="A160" s="85" t="s">
        <v>111</v>
      </c>
      <c r="B160" s="96">
        <v>157</v>
      </c>
      <c r="C160" s="86">
        <f t="shared" si="26"/>
        <v>586733.7893576439</v>
      </c>
      <c r="D160" s="86">
        <f>IF(G159=0,0,IF(G159&lt;BondCalculator!$B$12,G159+E160,BondCalculator!$B$12))</f>
        <v>9816.433869864442</v>
      </c>
      <c r="E160" s="86">
        <f>C160*BondCalculator!$B$5/12</f>
        <v>5011.684450763208</v>
      </c>
      <c r="F160" s="86">
        <f t="shared" si="21"/>
        <v>4804.749419101235</v>
      </c>
      <c r="G160" s="86">
        <f t="shared" si="22"/>
        <v>581929.0399385426</v>
      </c>
      <c r="H160" s="98">
        <f t="shared" si="23"/>
        <v>0.5819290399385426</v>
      </c>
      <c r="J160" s="88">
        <f t="shared" si="24"/>
        <v>0</v>
      </c>
      <c r="K160" s="88">
        <f>IF(N159=0,0,IF(N159&lt;BondCalculator!$B$12+BondCalculator!$B$7,N159+L160,BondCalculator!$B$12+BondCalculator!$B$7))</f>
        <v>0</v>
      </c>
      <c r="L160" s="88">
        <f>J160*BondCalculator!$B$5/12</f>
        <v>0</v>
      </c>
      <c r="M160" s="88">
        <f t="shared" si="25"/>
        <v>0</v>
      </c>
      <c r="N160" s="88">
        <f t="shared" si="18"/>
        <v>0</v>
      </c>
      <c r="P160" s="88">
        <f t="shared" si="19"/>
        <v>5011.684450763208</v>
      </c>
      <c r="Q160" s="89">
        <f>-PV(BondCalculator!$B$9/12,B160,0,1,0)</f>
        <v>0.45701273715815033</v>
      </c>
      <c r="S160" s="90">
        <f t="shared" si="20"/>
        <v>2290.403628616235</v>
      </c>
    </row>
    <row r="161" spans="1:19" ht="15" customHeight="1">
      <c r="A161" s="85" t="s">
        <v>111</v>
      </c>
      <c r="B161" s="96">
        <v>158</v>
      </c>
      <c r="C161" s="86">
        <f t="shared" si="26"/>
        <v>581929.0399385426</v>
      </c>
      <c r="D161" s="86">
        <f>IF(G160=0,0,IF(G160&lt;BondCalculator!$B$12,G160+E161,BondCalculator!$B$12))</f>
        <v>9816.433869864442</v>
      </c>
      <c r="E161" s="86">
        <f>C161*BondCalculator!$B$5/12</f>
        <v>4970.643882808385</v>
      </c>
      <c r="F161" s="86">
        <f t="shared" si="21"/>
        <v>4845.789987056058</v>
      </c>
      <c r="G161" s="86">
        <f t="shared" si="22"/>
        <v>577083.2499514866</v>
      </c>
      <c r="H161" s="98">
        <f t="shared" si="23"/>
        <v>0.5770832499514866</v>
      </c>
      <c r="J161" s="88">
        <f t="shared" si="24"/>
        <v>0</v>
      </c>
      <c r="K161" s="88">
        <f>IF(N160=0,0,IF(N160&lt;BondCalculator!$B$12+BondCalculator!$B$7,N160+L161,BondCalculator!$B$12+BondCalculator!$B$7))</f>
        <v>0</v>
      </c>
      <c r="L161" s="88">
        <f>J161*BondCalculator!$B$5/12</f>
        <v>0</v>
      </c>
      <c r="M161" s="88">
        <f t="shared" si="25"/>
        <v>0</v>
      </c>
      <c r="N161" s="88">
        <f t="shared" si="18"/>
        <v>0</v>
      </c>
      <c r="P161" s="88">
        <f t="shared" si="19"/>
        <v>4970.643882808385</v>
      </c>
      <c r="Q161" s="89">
        <f>-PV(BondCalculator!$B$9/12,B161,0,1,0)</f>
        <v>0.4547390419484084</v>
      </c>
      <c r="S161" s="90">
        <f t="shared" si="20"/>
        <v>2260.3458371350016</v>
      </c>
    </row>
    <row r="162" spans="1:19" ht="15" customHeight="1">
      <c r="A162" s="85" t="s">
        <v>111</v>
      </c>
      <c r="B162" s="96">
        <v>159</v>
      </c>
      <c r="C162" s="86">
        <f t="shared" si="26"/>
        <v>577083.2499514866</v>
      </c>
      <c r="D162" s="86">
        <f>IF(G161=0,0,IF(G161&lt;BondCalculator!$B$12,G161+E162,BondCalculator!$B$12))</f>
        <v>9816.433869864442</v>
      </c>
      <c r="E162" s="86">
        <f>C162*BondCalculator!$B$5/12</f>
        <v>4929.252760002281</v>
      </c>
      <c r="F162" s="86">
        <f t="shared" si="21"/>
        <v>4887.181109862161</v>
      </c>
      <c r="G162" s="86">
        <f t="shared" si="22"/>
        <v>572196.0688416244</v>
      </c>
      <c r="H162" s="98">
        <f t="shared" si="23"/>
        <v>0.5721960688416244</v>
      </c>
      <c r="J162" s="88">
        <f t="shared" si="24"/>
        <v>0</v>
      </c>
      <c r="K162" s="88">
        <f>IF(N161=0,0,IF(N161&lt;BondCalculator!$B$12+BondCalculator!$B$7,N161+L162,BondCalculator!$B$12+BondCalculator!$B$7))</f>
        <v>0</v>
      </c>
      <c r="L162" s="88">
        <f>J162*BondCalculator!$B$5/12</f>
        <v>0</v>
      </c>
      <c r="M162" s="88">
        <f t="shared" si="25"/>
        <v>0</v>
      </c>
      <c r="N162" s="88">
        <f t="shared" si="18"/>
        <v>0</v>
      </c>
      <c r="P162" s="88">
        <f t="shared" si="19"/>
        <v>4929.252760002281</v>
      </c>
      <c r="Q162" s="89">
        <f>-PV(BondCalculator!$B$9/12,B162,0,1,0)</f>
        <v>0.4524766586551328</v>
      </c>
      <c r="S162" s="90">
        <f t="shared" si="20"/>
        <v>2230.3718185124235</v>
      </c>
    </row>
    <row r="163" spans="1:19" ht="15" customHeight="1">
      <c r="A163" s="85" t="s">
        <v>111</v>
      </c>
      <c r="B163" s="96">
        <v>160</v>
      </c>
      <c r="C163" s="86">
        <f t="shared" si="26"/>
        <v>572196.0688416244</v>
      </c>
      <c r="D163" s="86">
        <f>IF(G162=0,0,IF(G162&lt;BondCalculator!$B$12,G162+E163,BondCalculator!$B$12))</f>
        <v>9816.433869864442</v>
      </c>
      <c r="E163" s="86">
        <f>C163*BondCalculator!$B$5/12</f>
        <v>4887.5080880222085</v>
      </c>
      <c r="F163" s="86">
        <f t="shared" si="21"/>
        <v>4928.925781842234</v>
      </c>
      <c r="G163" s="86">
        <f t="shared" si="22"/>
        <v>567267.1430597822</v>
      </c>
      <c r="H163" s="98">
        <f t="shared" si="23"/>
        <v>0.5672671430597822</v>
      </c>
      <c r="J163" s="88">
        <f t="shared" si="24"/>
        <v>0</v>
      </c>
      <c r="K163" s="88">
        <f>IF(N162=0,0,IF(N162&lt;BondCalculator!$B$12+BondCalculator!$B$7,N162+L163,BondCalculator!$B$12+BondCalculator!$B$7))</f>
        <v>0</v>
      </c>
      <c r="L163" s="88">
        <f>J163*BondCalculator!$B$5/12</f>
        <v>0</v>
      </c>
      <c r="M163" s="88">
        <f t="shared" si="25"/>
        <v>0</v>
      </c>
      <c r="N163" s="88">
        <f t="shared" si="18"/>
        <v>0</v>
      </c>
      <c r="P163" s="88">
        <f t="shared" si="19"/>
        <v>4887.5080880222085</v>
      </c>
      <c r="Q163" s="89">
        <f>-PV(BondCalculator!$B$9/12,B163,0,1,0)</f>
        <v>0.45022553100013224</v>
      </c>
      <c r="S163" s="90">
        <f t="shared" si="20"/>
        <v>2200.48092419724</v>
      </c>
    </row>
    <row r="164" spans="1:19" ht="15" customHeight="1">
      <c r="A164" s="85" t="s">
        <v>111</v>
      </c>
      <c r="B164" s="96">
        <v>161</v>
      </c>
      <c r="C164" s="86">
        <f t="shared" si="26"/>
        <v>567267.1430597822</v>
      </c>
      <c r="D164" s="86">
        <f>IF(G163=0,0,IF(G163&lt;BondCalculator!$B$12,G163+E164,BondCalculator!$B$12))</f>
        <v>9816.433869864442</v>
      </c>
      <c r="E164" s="86">
        <f>C164*BondCalculator!$B$5/12</f>
        <v>4845.406846968973</v>
      </c>
      <c r="F164" s="86">
        <f t="shared" si="21"/>
        <v>4971.02702289547</v>
      </c>
      <c r="G164" s="86">
        <f t="shared" si="22"/>
        <v>562296.1160368867</v>
      </c>
      <c r="H164" s="98">
        <f t="shared" si="23"/>
        <v>0.5622961160368867</v>
      </c>
      <c r="J164" s="88">
        <f t="shared" si="24"/>
        <v>0</v>
      </c>
      <c r="K164" s="88">
        <f>IF(N163=0,0,IF(N163&lt;BondCalculator!$B$12+BondCalculator!$B$7,N163+L164,BondCalculator!$B$12+BondCalculator!$B$7))</f>
        <v>0</v>
      </c>
      <c r="L164" s="88">
        <f>J164*BondCalculator!$B$5/12</f>
        <v>0</v>
      </c>
      <c r="M164" s="88">
        <f t="shared" si="25"/>
        <v>0</v>
      </c>
      <c r="N164" s="88">
        <f t="shared" si="18"/>
        <v>0</v>
      </c>
      <c r="P164" s="88">
        <f t="shared" si="19"/>
        <v>4845.406846968973</v>
      </c>
      <c r="Q164" s="89">
        <f>-PV(BondCalculator!$B$9/12,B164,0,1,0)</f>
        <v>0.4479856029852063</v>
      </c>
      <c r="S164" s="90">
        <f t="shared" si="20"/>
        <v>2170.6725080480423</v>
      </c>
    </row>
    <row r="165" spans="1:19" ht="15" customHeight="1">
      <c r="A165" s="85" t="s">
        <v>111</v>
      </c>
      <c r="B165" s="96">
        <v>162</v>
      </c>
      <c r="C165" s="86">
        <f t="shared" si="26"/>
        <v>562296.1160368867</v>
      </c>
      <c r="D165" s="86">
        <f>IF(G164=0,0,IF(G164&lt;BondCalculator!$B$12,G164+E165,BondCalculator!$B$12))</f>
        <v>9816.433869864442</v>
      </c>
      <c r="E165" s="86">
        <f>C165*BondCalculator!$B$5/12</f>
        <v>4802.945991148407</v>
      </c>
      <c r="F165" s="86">
        <f t="shared" si="21"/>
        <v>5013.487878716035</v>
      </c>
      <c r="G165" s="86">
        <f t="shared" si="22"/>
        <v>557282.6281581706</v>
      </c>
      <c r="H165" s="98">
        <f t="shared" si="23"/>
        <v>0.5572826281581706</v>
      </c>
      <c r="J165" s="88">
        <f t="shared" si="24"/>
        <v>0</v>
      </c>
      <c r="K165" s="88">
        <f>IF(N164=0,0,IF(N164&lt;BondCalculator!$B$12+BondCalculator!$B$7,N164+L165,BondCalculator!$B$12+BondCalculator!$B$7))</f>
        <v>0</v>
      </c>
      <c r="L165" s="88">
        <f>J165*BondCalculator!$B$5/12</f>
        <v>0</v>
      </c>
      <c r="M165" s="88">
        <f t="shared" si="25"/>
        <v>0</v>
      </c>
      <c r="N165" s="88">
        <f t="shared" si="18"/>
        <v>0</v>
      </c>
      <c r="P165" s="88">
        <f t="shared" si="19"/>
        <v>4802.945991148407</v>
      </c>
      <c r="Q165" s="89">
        <f>-PV(BondCalculator!$B$9/12,B165,0,1,0)</f>
        <v>0.4457568188907526</v>
      </c>
      <c r="S165" s="90">
        <f t="shared" si="20"/>
        <v>2140.9459263184067</v>
      </c>
    </row>
    <row r="166" spans="1:19" ht="15" customHeight="1">
      <c r="A166" s="85" t="s">
        <v>111</v>
      </c>
      <c r="B166" s="96">
        <v>163</v>
      </c>
      <c r="C166" s="86">
        <f t="shared" si="26"/>
        <v>557282.6281581706</v>
      </c>
      <c r="D166" s="86">
        <f>IF(G165=0,0,IF(G165&lt;BondCalculator!$B$12,G165+E166,BondCalculator!$B$12))</f>
        <v>9816.433869864442</v>
      </c>
      <c r="E166" s="86">
        <f>C166*BondCalculator!$B$5/12</f>
        <v>4760.122448851041</v>
      </c>
      <c r="F166" s="86">
        <f t="shared" si="21"/>
        <v>5056.311421013402</v>
      </c>
      <c r="G166" s="86">
        <f t="shared" si="22"/>
        <v>552226.3167371572</v>
      </c>
      <c r="H166" s="98">
        <f t="shared" si="23"/>
        <v>0.5522263167371572</v>
      </c>
      <c r="J166" s="88">
        <f t="shared" si="24"/>
        <v>0</v>
      </c>
      <c r="K166" s="88">
        <f>IF(N165=0,0,IF(N165&lt;BondCalculator!$B$12+BondCalculator!$B$7,N165+L166,BondCalculator!$B$12+BondCalculator!$B$7))</f>
        <v>0</v>
      </c>
      <c r="L166" s="88">
        <f>J166*BondCalculator!$B$5/12</f>
        <v>0</v>
      </c>
      <c r="M166" s="88">
        <f t="shared" si="25"/>
        <v>0</v>
      </c>
      <c r="N166" s="88">
        <f t="shared" si="18"/>
        <v>0</v>
      </c>
      <c r="P166" s="88">
        <f t="shared" si="19"/>
        <v>4760.122448851041</v>
      </c>
      <c r="Q166" s="89">
        <f>-PV(BondCalculator!$B$9/12,B166,0,1,0)</f>
        <v>0.44353912327438066</v>
      </c>
      <c r="S166" s="90">
        <f t="shared" si="20"/>
        <v>2111.3005376420883</v>
      </c>
    </row>
    <row r="167" spans="1:19" ht="15" customHeight="1">
      <c r="A167" s="85" t="s">
        <v>111</v>
      </c>
      <c r="B167" s="96">
        <v>164</v>
      </c>
      <c r="C167" s="86">
        <f t="shared" si="26"/>
        <v>552226.3167371572</v>
      </c>
      <c r="D167" s="86">
        <f>IF(G166=0,0,IF(G166&lt;BondCalculator!$B$12,G166+E167,BondCalculator!$B$12))</f>
        <v>9816.433869864442</v>
      </c>
      <c r="E167" s="86">
        <f>C167*BondCalculator!$B$5/12</f>
        <v>4716.933122129884</v>
      </c>
      <c r="F167" s="86">
        <f t="shared" si="21"/>
        <v>5099.500747734558</v>
      </c>
      <c r="G167" s="86">
        <f t="shared" si="22"/>
        <v>547126.8159894226</v>
      </c>
      <c r="H167" s="98">
        <f t="shared" si="23"/>
        <v>0.5471268159894226</v>
      </c>
      <c r="J167" s="88">
        <f t="shared" si="24"/>
        <v>0</v>
      </c>
      <c r="K167" s="88">
        <f>IF(N166=0,0,IF(N166&lt;BondCalculator!$B$12+BondCalculator!$B$7,N166+L167,BondCalculator!$B$12+BondCalculator!$B$7))</f>
        <v>0</v>
      </c>
      <c r="L167" s="88">
        <f>J167*BondCalculator!$B$5/12</f>
        <v>0</v>
      </c>
      <c r="M167" s="88">
        <f t="shared" si="25"/>
        <v>0</v>
      </c>
      <c r="N167" s="88">
        <f t="shared" si="18"/>
        <v>0</v>
      </c>
      <c r="P167" s="88">
        <f t="shared" si="19"/>
        <v>4716.933122129884</v>
      </c>
      <c r="Q167" s="89">
        <f>-PV(BondCalculator!$B$9/12,B167,0,1,0)</f>
        <v>0.44133246096953316</v>
      </c>
      <c r="S167" s="90">
        <f t="shared" si="20"/>
        <v>2081.735703018285</v>
      </c>
    </row>
    <row r="168" spans="1:19" ht="15" customHeight="1">
      <c r="A168" s="85" t="s">
        <v>111</v>
      </c>
      <c r="B168" s="96">
        <v>165</v>
      </c>
      <c r="C168" s="86">
        <f t="shared" si="26"/>
        <v>547126.8159894226</v>
      </c>
      <c r="D168" s="86">
        <f>IF(G167=0,0,IF(G167&lt;BondCalculator!$B$12,G167+E168,BondCalculator!$B$12))</f>
        <v>9816.433869864442</v>
      </c>
      <c r="E168" s="86">
        <f>C168*BondCalculator!$B$5/12</f>
        <v>4673.374886576318</v>
      </c>
      <c r="F168" s="86">
        <f t="shared" si="21"/>
        <v>5143.058983288124</v>
      </c>
      <c r="G168" s="86">
        <f t="shared" si="22"/>
        <v>541983.7570061345</v>
      </c>
      <c r="H168" s="98">
        <f t="shared" si="23"/>
        <v>0.5419837570061344</v>
      </c>
      <c r="J168" s="88">
        <f t="shared" si="24"/>
        <v>0</v>
      </c>
      <c r="K168" s="88">
        <f>IF(N167=0,0,IF(N167&lt;BondCalculator!$B$12+BondCalculator!$B$7,N167+L168,BondCalculator!$B$12+BondCalculator!$B$7))</f>
        <v>0</v>
      </c>
      <c r="L168" s="88">
        <f>J168*BondCalculator!$B$5/12</f>
        <v>0</v>
      </c>
      <c r="M168" s="88">
        <f t="shared" si="25"/>
        <v>0</v>
      </c>
      <c r="N168" s="88">
        <f t="shared" si="18"/>
        <v>0</v>
      </c>
      <c r="P168" s="88">
        <f t="shared" si="19"/>
        <v>4673.374886576318</v>
      </c>
      <c r="Q168" s="89">
        <f>-PV(BondCalculator!$B$9/12,B168,0,1,0)</f>
        <v>0.4391367770841127</v>
      </c>
      <c r="S168" s="90">
        <f t="shared" si="20"/>
        <v>2052.250785796955</v>
      </c>
    </row>
    <row r="169" spans="1:19" ht="15" customHeight="1">
      <c r="A169" s="85" t="s">
        <v>111</v>
      </c>
      <c r="B169" s="96">
        <v>166</v>
      </c>
      <c r="C169" s="86">
        <f t="shared" si="26"/>
        <v>541983.7570061345</v>
      </c>
      <c r="D169" s="86">
        <f>IF(G168=0,0,IF(G168&lt;BondCalculator!$B$12,G168+E169,BondCalculator!$B$12))</f>
        <v>9816.433869864442</v>
      </c>
      <c r="E169" s="86">
        <f>C169*BondCalculator!$B$5/12</f>
        <v>4629.444591094065</v>
      </c>
      <c r="F169" s="86">
        <f t="shared" si="21"/>
        <v>5186.9892787703775</v>
      </c>
      <c r="G169" s="86">
        <f t="shared" si="22"/>
        <v>536796.7677273641</v>
      </c>
      <c r="H169" s="98">
        <f t="shared" si="23"/>
        <v>0.5367967677273641</v>
      </c>
      <c r="J169" s="88">
        <f t="shared" si="24"/>
        <v>0</v>
      </c>
      <c r="K169" s="88">
        <f>IF(N168=0,0,IF(N168&lt;BondCalculator!$B$12+BondCalculator!$B$7,N168+L169,BondCalculator!$B$12+BondCalculator!$B$7))</f>
        <v>0</v>
      </c>
      <c r="L169" s="88">
        <f>J169*BondCalculator!$B$5/12</f>
        <v>0</v>
      </c>
      <c r="M169" s="88">
        <f t="shared" si="25"/>
        <v>0</v>
      </c>
      <c r="N169" s="88">
        <f t="shared" si="18"/>
        <v>0</v>
      </c>
      <c r="P169" s="88">
        <f t="shared" si="19"/>
        <v>4629.444591094065</v>
      </c>
      <c r="Q169" s="89">
        <f>-PV(BondCalculator!$B$9/12,B169,0,1,0)</f>
        <v>0.4369520169991171</v>
      </c>
      <c r="S169" s="90">
        <f t="shared" si="20"/>
        <v>2022.8451516642046</v>
      </c>
    </row>
    <row r="170" spans="1:19" ht="15" customHeight="1">
      <c r="A170" s="85" t="s">
        <v>111</v>
      </c>
      <c r="B170" s="96">
        <v>167</v>
      </c>
      <c r="C170" s="86">
        <f t="shared" si="26"/>
        <v>536796.7677273641</v>
      </c>
      <c r="D170" s="86">
        <f>IF(G169=0,0,IF(G169&lt;BondCalculator!$B$12,G169+E170,BondCalculator!$B$12))</f>
        <v>9816.433869864442</v>
      </c>
      <c r="E170" s="86">
        <f>C170*BondCalculator!$B$5/12</f>
        <v>4585.139057671235</v>
      </c>
      <c r="F170" s="86">
        <f t="shared" si="21"/>
        <v>5231.294812193208</v>
      </c>
      <c r="G170" s="86">
        <f t="shared" si="22"/>
        <v>531565.4729151708</v>
      </c>
      <c r="H170" s="98">
        <f t="shared" si="23"/>
        <v>0.5315654729151709</v>
      </c>
      <c r="J170" s="88">
        <f t="shared" si="24"/>
        <v>0</v>
      </c>
      <c r="K170" s="88">
        <f>IF(N169=0,0,IF(N169&lt;BondCalculator!$B$12+BondCalculator!$B$7,N169+L170,BondCalculator!$B$12+BondCalculator!$B$7))</f>
        <v>0</v>
      </c>
      <c r="L170" s="88">
        <f>J170*BondCalculator!$B$5/12</f>
        <v>0</v>
      </c>
      <c r="M170" s="88">
        <f t="shared" si="25"/>
        <v>0</v>
      </c>
      <c r="N170" s="88">
        <f t="shared" si="18"/>
        <v>0</v>
      </c>
      <c r="P170" s="88">
        <f t="shared" si="19"/>
        <v>4585.139057671235</v>
      </c>
      <c r="Q170" s="89">
        <f>-PV(BondCalculator!$B$9/12,B170,0,1,0)</f>
        <v>0.4347781263672808</v>
      </c>
      <c r="S170" s="90">
        <f t="shared" si="20"/>
        <v>1993.518168627739</v>
      </c>
    </row>
    <row r="171" spans="1:19" ht="15" customHeight="1">
      <c r="A171" s="85" t="s">
        <v>111</v>
      </c>
      <c r="B171" s="96">
        <v>168</v>
      </c>
      <c r="C171" s="86">
        <f t="shared" si="26"/>
        <v>531565.4729151708</v>
      </c>
      <c r="D171" s="86">
        <f>IF(G170=0,0,IF(G170&lt;BondCalculator!$B$12,G170+E171,BondCalculator!$B$12))</f>
        <v>9816.433869864442</v>
      </c>
      <c r="E171" s="86">
        <f>C171*BondCalculator!$B$5/12</f>
        <v>4540.455081150417</v>
      </c>
      <c r="F171" s="86">
        <f t="shared" si="21"/>
        <v>5275.9787887140255</v>
      </c>
      <c r="G171" s="86">
        <f t="shared" si="22"/>
        <v>526289.4941264568</v>
      </c>
      <c r="H171" s="98">
        <f t="shared" si="23"/>
        <v>0.5262894941264568</v>
      </c>
      <c r="J171" s="88">
        <f t="shared" si="24"/>
        <v>0</v>
      </c>
      <c r="K171" s="88">
        <f>IF(N170=0,0,IF(N170&lt;BondCalculator!$B$12+BondCalculator!$B$7,N170+L171,BondCalculator!$B$12+BondCalculator!$B$7))</f>
        <v>0</v>
      </c>
      <c r="L171" s="88">
        <f>J171*BondCalculator!$B$5/12</f>
        <v>0</v>
      </c>
      <c r="M171" s="88">
        <f t="shared" si="25"/>
        <v>0</v>
      </c>
      <c r="N171" s="88">
        <f t="shared" si="18"/>
        <v>0</v>
      </c>
      <c r="P171" s="88">
        <f t="shared" si="19"/>
        <v>4540.455081150417</v>
      </c>
      <c r="Q171" s="89">
        <f>-PV(BondCalculator!$B$9/12,B171,0,1,0)</f>
        <v>0.4326150511117222</v>
      </c>
      <c r="S171" s="90">
        <f t="shared" si="20"/>
        <v>1964.2692070023663</v>
      </c>
    </row>
    <row r="172" spans="1:19" ht="15" customHeight="1">
      <c r="A172" s="85" t="s">
        <v>112</v>
      </c>
      <c r="B172" s="96">
        <v>169</v>
      </c>
      <c r="C172" s="86">
        <f t="shared" si="26"/>
        <v>526289.4941264568</v>
      </c>
      <c r="D172" s="86">
        <f>IF(G171=0,0,IF(G171&lt;BondCalculator!$B$12,G171+E172,BondCalculator!$B$12))</f>
        <v>9816.433869864442</v>
      </c>
      <c r="E172" s="86">
        <f>C172*BondCalculator!$B$5/12</f>
        <v>4495.389428996818</v>
      </c>
      <c r="F172" s="86">
        <f t="shared" si="21"/>
        <v>5321.044440867624</v>
      </c>
      <c r="G172" s="86">
        <f t="shared" si="22"/>
        <v>520968.4496855892</v>
      </c>
      <c r="H172" s="98">
        <f t="shared" si="23"/>
        <v>0.5209684496855892</v>
      </c>
      <c r="J172" s="88">
        <f t="shared" si="24"/>
        <v>0</v>
      </c>
      <c r="K172" s="88">
        <f>IF(N171=0,0,IF(N171&lt;BondCalculator!$B$12+BondCalculator!$B$7,N171+L172,BondCalculator!$B$12+BondCalculator!$B$7))</f>
        <v>0</v>
      </c>
      <c r="L172" s="88">
        <f>J172*BondCalculator!$B$5/12</f>
        <v>0</v>
      </c>
      <c r="M172" s="88">
        <f t="shared" si="25"/>
        <v>0</v>
      </c>
      <c r="N172" s="88">
        <f t="shared" si="18"/>
        <v>0</v>
      </c>
      <c r="P172" s="88">
        <f t="shared" si="19"/>
        <v>4495.389428996818</v>
      </c>
      <c r="Q172" s="89">
        <f>-PV(BondCalculator!$B$9/12,B172,0,1,0)</f>
        <v>0.4304627374245993</v>
      </c>
      <c r="S172" s="90">
        <f t="shared" si="20"/>
        <v>1935.0976393955768</v>
      </c>
    </row>
    <row r="173" spans="1:19" ht="15" customHeight="1">
      <c r="A173" s="85" t="s">
        <v>112</v>
      </c>
      <c r="B173" s="96">
        <v>170</v>
      </c>
      <c r="C173" s="86">
        <f t="shared" si="26"/>
        <v>520968.4496855892</v>
      </c>
      <c r="D173" s="86">
        <f>IF(G172=0,0,IF(G172&lt;BondCalculator!$B$12,G172+E173,BondCalculator!$B$12))</f>
        <v>9816.433869864442</v>
      </c>
      <c r="E173" s="86">
        <f>C173*BondCalculator!$B$5/12</f>
        <v>4449.938841064407</v>
      </c>
      <c r="F173" s="86">
        <f t="shared" si="21"/>
        <v>5366.4950288000355</v>
      </c>
      <c r="G173" s="86">
        <f t="shared" si="22"/>
        <v>515601.95465678914</v>
      </c>
      <c r="H173" s="98">
        <f t="shared" si="23"/>
        <v>0.5156019546567892</v>
      </c>
      <c r="J173" s="88">
        <f t="shared" si="24"/>
        <v>0</v>
      </c>
      <c r="K173" s="88">
        <f>IF(N172=0,0,IF(N172&lt;BondCalculator!$B$12+BondCalculator!$B$7,N172+L173,BondCalculator!$B$12+BondCalculator!$B$7))</f>
        <v>0</v>
      </c>
      <c r="L173" s="88">
        <f>J173*BondCalculator!$B$5/12</f>
        <v>0</v>
      </c>
      <c r="M173" s="88">
        <f t="shared" si="25"/>
        <v>0</v>
      </c>
      <c r="N173" s="88">
        <f t="shared" si="18"/>
        <v>0</v>
      </c>
      <c r="P173" s="88">
        <f t="shared" si="19"/>
        <v>4449.938841064407</v>
      </c>
      <c r="Q173" s="89">
        <f>-PV(BondCalculator!$B$9/12,B173,0,1,0)</f>
        <v>0.4283211317657705</v>
      </c>
      <c r="S173" s="90">
        <f t="shared" si="20"/>
        <v>1906.002840693168</v>
      </c>
    </row>
    <row r="174" spans="1:19" ht="15" customHeight="1">
      <c r="A174" s="85" t="s">
        <v>112</v>
      </c>
      <c r="B174" s="96">
        <v>171</v>
      </c>
      <c r="C174" s="86">
        <f t="shared" si="26"/>
        <v>515601.95465678914</v>
      </c>
      <c r="D174" s="86">
        <f>IF(G173=0,0,IF(G173&lt;BondCalculator!$B$12,G173+E174,BondCalculator!$B$12))</f>
        <v>9816.433869864442</v>
      </c>
      <c r="E174" s="86">
        <f>C174*BondCalculator!$B$5/12</f>
        <v>4404.100029360074</v>
      </c>
      <c r="F174" s="86">
        <f t="shared" si="21"/>
        <v>5412.333840504369</v>
      </c>
      <c r="G174" s="86">
        <f t="shared" si="22"/>
        <v>510189.6208162848</v>
      </c>
      <c r="H174" s="98">
        <f t="shared" si="23"/>
        <v>0.5101896208162848</v>
      </c>
      <c r="J174" s="88">
        <f t="shared" si="24"/>
        <v>0</v>
      </c>
      <c r="K174" s="88">
        <f>IF(N173=0,0,IF(N173&lt;BondCalculator!$B$12+BondCalculator!$B$7,N173+L174,BondCalculator!$B$12+BondCalculator!$B$7))</f>
        <v>0</v>
      </c>
      <c r="L174" s="88">
        <f>J174*BondCalculator!$B$5/12</f>
        <v>0</v>
      </c>
      <c r="M174" s="88">
        <f t="shared" si="25"/>
        <v>0</v>
      </c>
      <c r="N174" s="88">
        <f t="shared" si="18"/>
        <v>0</v>
      </c>
      <c r="P174" s="88">
        <f t="shared" si="19"/>
        <v>4404.100029360074</v>
      </c>
      <c r="Q174" s="89">
        <f>-PV(BondCalculator!$B$9/12,B174,0,1,0)</f>
        <v>0.4261901808614632</v>
      </c>
      <c r="S174" s="90">
        <f t="shared" si="20"/>
        <v>1876.9841880449453</v>
      </c>
    </row>
    <row r="175" spans="1:19" ht="15" customHeight="1">
      <c r="A175" s="85" t="s">
        <v>112</v>
      </c>
      <c r="B175" s="96">
        <v>172</v>
      </c>
      <c r="C175" s="86">
        <f t="shared" si="26"/>
        <v>510189.6208162848</v>
      </c>
      <c r="D175" s="86">
        <f>IF(G174=0,0,IF(G174&lt;BondCalculator!$B$12,G174+E175,BondCalculator!$B$12))</f>
        <v>9816.433869864442</v>
      </c>
      <c r="E175" s="86">
        <f>C175*BondCalculator!$B$5/12</f>
        <v>4357.869677805766</v>
      </c>
      <c r="F175" s="86">
        <f t="shared" si="21"/>
        <v>5458.564192058677</v>
      </c>
      <c r="G175" s="86">
        <f t="shared" si="22"/>
        <v>504731.0566242261</v>
      </c>
      <c r="H175" s="98">
        <f t="shared" si="23"/>
        <v>0.5047310566242261</v>
      </c>
      <c r="J175" s="88">
        <f t="shared" si="24"/>
        <v>0</v>
      </c>
      <c r="K175" s="88">
        <f>IF(N174=0,0,IF(N174&lt;BondCalculator!$B$12+BondCalculator!$B$7,N174+L175,BondCalculator!$B$12+BondCalculator!$B$7))</f>
        <v>0</v>
      </c>
      <c r="L175" s="88">
        <f>J175*BondCalculator!$B$5/12</f>
        <v>0</v>
      </c>
      <c r="M175" s="88">
        <f t="shared" si="25"/>
        <v>0</v>
      </c>
      <c r="N175" s="88">
        <f t="shared" si="18"/>
        <v>0</v>
      </c>
      <c r="P175" s="88">
        <f t="shared" si="19"/>
        <v>4357.869677805766</v>
      </c>
      <c r="Q175" s="89">
        <f>-PV(BondCalculator!$B$9/12,B175,0,1,0)</f>
        <v>0.4240698317029486</v>
      </c>
      <c r="S175" s="90">
        <f t="shared" si="20"/>
        <v>1848.0410608504737</v>
      </c>
    </row>
    <row r="176" spans="1:19" ht="15" customHeight="1">
      <c r="A176" s="85" t="s">
        <v>112</v>
      </c>
      <c r="B176" s="96">
        <v>173</v>
      </c>
      <c r="C176" s="86">
        <f t="shared" si="26"/>
        <v>504731.0566242261</v>
      </c>
      <c r="D176" s="86">
        <f>IF(G175=0,0,IF(G175&lt;BondCalculator!$B$12,G175+E176,BondCalculator!$B$12))</f>
        <v>9816.433869864442</v>
      </c>
      <c r="E176" s="86">
        <f>C176*BondCalculator!$B$5/12</f>
        <v>4311.244441998598</v>
      </c>
      <c r="F176" s="86">
        <f t="shared" si="21"/>
        <v>5505.189427865845</v>
      </c>
      <c r="G176" s="86">
        <f t="shared" si="22"/>
        <v>499225.86719636025</v>
      </c>
      <c r="H176" s="98">
        <f t="shared" si="23"/>
        <v>0.49922586719636025</v>
      </c>
      <c r="J176" s="88">
        <f t="shared" si="24"/>
        <v>0</v>
      </c>
      <c r="K176" s="88">
        <f>IF(N175=0,0,IF(N175&lt;BondCalculator!$B$12+BondCalculator!$B$7,N175+L176,BondCalculator!$B$12+BondCalculator!$B$7))</f>
        <v>0</v>
      </c>
      <c r="L176" s="88">
        <f>J176*BondCalculator!$B$5/12</f>
        <v>0</v>
      </c>
      <c r="M176" s="88">
        <f t="shared" si="25"/>
        <v>0</v>
      </c>
      <c r="N176" s="88">
        <f t="shared" si="18"/>
        <v>0</v>
      </c>
      <c r="P176" s="88">
        <f t="shared" si="19"/>
        <v>4311.244441998598</v>
      </c>
      <c r="Q176" s="89">
        <f>-PV(BondCalculator!$B$9/12,B176,0,1,0)</f>
        <v>0.4219600315452226</v>
      </c>
      <c r="S176" s="90">
        <f t="shared" si="20"/>
        <v>1819.1728407448938</v>
      </c>
    </row>
    <row r="177" spans="1:19" ht="15" customHeight="1">
      <c r="A177" s="85" t="s">
        <v>112</v>
      </c>
      <c r="B177" s="96">
        <v>174</v>
      </c>
      <c r="C177" s="86">
        <f t="shared" si="26"/>
        <v>499225.86719636025</v>
      </c>
      <c r="D177" s="86">
        <f>IF(G176=0,0,IF(G176&lt;BondCalculator!$B$12,G176+E177,BondCalculator!$B$12))</f>
        <v>9816.433869864442</v>
      </c>
      <c r="E177" s="86">
        <f>C177*BondCalculator!$B$5/12</f>
        <v>4264.22094896891</v>
      </c>
      <c r="F177" s="86">
        <f t="shared" si="21"/>
        <v>5552.212920895532</v>
      </c>
      <c r="G177" s="86">
        <f t="shared" si="22"/>
        <v>493673.6542754647</v>
      </c>
      <c r="H177" s="98">
        <f t="shared" si="23"/>
        <v>0.4936736542754647</v>
      </c>
      <c r="J177" s="88">
        <f t="shared" si="24"/>
        <v>0</v>
      </c>
      <c r="K177" s="88">
        <f>IF(N176=0,0,IF(N176&lt;BondCalculator!$B$12+BondCalculator!$B$7,N176+L177,BondCalculator!$B$12+BondCalculator!$B$7))</f>
        <v>0</v>
      </c>
      <c r="L177" s="88">
        <f>J177*BondCalculator!$B$5/12</f>
        <v>0</v>
      </c>
      <c r="M177" s="88">
        <f t="shared" si="25"/>
        <v>0</v>
      </c>
      <c r="N177" s="88">
        <f t="shared" si="18"/>
        <v>0</v>
      </c>
      <c r="P177" s="88">
        <f t="shared" si="19"/>
        <v>4264.22094896891</v>
      </c>
      <c r="Q177" s="89">
        <f>-PV(BondCalculator!$B$9/12,B177,0,1,0)</f>
        <v>0.4198607279056941</v>
      </c>
      <c r="S177" s="90">
        <f t="shared" si="20"/>
        <v>1790.3789115847965</v>
      </c>
    </row>
    <row r="178" spans="1:19" ht="15" customHeight="1">
      <c r="A178" s="85" t="s">
        <v>112</v>
      </c>
      <c r="B178" s="96">
        <v>175</v>
      </c>
      <c r="C178" s="86">
        <f t="shared" si="26"/>
        <v>493673.6542754647</v>
      </c>
      <c r="D178" s="86">
        <f>IF(G177=0,0,IF(G177&lt;BondCalculator!$B$12,G177+E178,BondCalculator!$B$12))</f>
        <v>9816.433869864442</v>
      </c>
      <c r="E178" s="86">
        <f>C178*BondCalculator!$B$5/12</f>
        <v>4216.795796936261</v>
      </c>
      <c r="F178" s="86">
        <f t="shared" si="21"/>
        <v>5599.638072928182</v>
      </c>
      <c r="G178" s="86">
        <f t="shared" si="22"/>
        <v>488074.0162025365</v>
      </c>
      <c r="H178" s="98">
        <f t="shared" si="23"/>
        <v>0.48807401620253654</v>
      </c>
      <c r="J178" s="88">
        <f t="shared" si="24"/>
        <v>0</v>
      </c>
      <c r="K178" s="88">
        <f>IF(N177=0,0,IF(N177&lt;BondCalculator!$B$12+BondCalculator!$B$7,N177+L178,BondCalculator!$B$12+BondCalculator!$B$7))</f>
        <v>0</v>
      </c>
      <c r="L178" s="88">
        <f>J178*BondCalculator!$B$5/12</f>
        <v>0</v>
      </c>
      <c r="M178" s="88">
        <f t="shared" si="25"/>
        <v>0</v>
      </c>
      <c r="N178" s="88">
        <f t="shared" si="18"/>
        <v>0</v>
      </c>
      <c r="P178" s="88">
        <f t="shared" si="19"/>
        <v>4216.795796936261</v>
      </c>
      <c r="Q178" s="89">
        <f>-PV(BondCalculator!$B$9/12,B178,0,1,0)</f>
        <v>0.41777186856287984</v>
      </c>
      <c r="S178" s="90">
        <f t="shared" si="20"/>
        <v>1761.6586594341595</v>
      </c>
    </row>
    <row r="179" spans="1:19" ht="15" customHeight="1">
      <c r="A179" s="85" t="s">
        <v>112</v>
      </c>
      <c r="B179" s="96">
        <v>176</v>
      </c>
      <c r="C179" s="86">
        <f t="shared" si="26"/>
        <v>488074.0162025365</v>
      </c>
      <c r="D179" s="86">
        <f>IF(G178=0,0,IF(G178&lt;BondCalculator!$B$12,G178+E179,BondCalculator!$B$12))</f>
        <v>9816.433869864442</v>
      </c>
      <c r="E179" s="86">
        <f>C179*BondCalculator!$B$5/12</f>
        <v>4168.965555063332</v>
      </c>
      <c r="F179" s="86">
        <f t="shared" si="21"/>
        <v>5647.46831480111</v>
      </c>
      <c r="G179" s="86">
        <f t="shared" si="22"/>
        <v>482426.5478877354</v>
      </c>
      <c r="H179" s="98">
        <f t="shared" si="23"/>
        <v>0.4824265478877354</v>
      </c>
      <c r="J179" s="88">
        <f t="shared" si="24"/>
        <v>0</v>
      </c>
      <c r="K179" s="88">
        <f>IF(N178=0,0,IF(N178&lt;BondCalculator!$B$12+BondCalculator!$B$7,N178+L179,BondCalculator!$B$12+BondCalculator!$B$7))</f>
        <v>0</v>
      </c>
      <c r="L179" s="88">
        <f>J179*BondCalculator!$B$5/12</f>
        <v>0</v>
      </c>
      <c r="M179" s="88">
        <f t="shared" si="25"/>
        <v>0</v>
      </c>
      <c r="N179" s="88">
        <f t="shared" si="18"/>
        <v>0</v>
      </c>
      <c r="P179" s="88">
        <f t="shared" si="19"/>
        <v>4168.965555063332</v>
      </c>
      <c r="Q179" s="89">
        <f>-PV(BondCalculator!$B$9/12,B179,0,1,0)</f>
        <v>0.41569340155510437</v>
      </c>
      <c r="S179" s="90">
        <f t="shared" si="20"/>
        <v>1733.0114725503404</v>
      </c>
    </row>
    <row r="180" spans="1:19" ht="15" customHeight="1">
      <c r="A180" s="85" t="s">
        <v>112</v>
      </c>
      <c r="B180" s="96">
        <v>177</v>
      </c>
      <c r="C180" s="86">
        <f t="shared" si="26"/>
        <v>482426.5478877354</v>
      </c>
      <c r="D180" s="86">
        <f>IF(G179=0,0,IF(G179&lt;BondCalculator!$B$12,G179+E180,BondCalculator!$B$12))</f>
        <v>9816.433869864442</v>
      </c>
      <c r="E180" s="86">
        <f>C180*BondCalculator!$B$5/12</f>
        <v>4120.72676320774</v>
      </c>
      <c r="F180" s="86">
        <f t="shared" si="21"/>
        <v>5695.707106656702</v>
      </c>
      <c r="G180" s="86">
        <f t="shared" si="22"/>
        <v>476730.84078107873</v>
      </c>
      <c r="H180" s="98">
        <f t="shared" si="23"/>
        <v>0.47673084078107875</v>
      </c>
      <c r="J180" s="88">
        <f t="shared" si="24"/>
        <v>0</v>
      </c>
      <c r="K180" s="88">
        <f>IF(N179=0,0,IF(N179&lt;BondCalculator!$B$12+BondCalculator!$B$7,N179+L180,BondCalculator!$B$12+BondCalculator!$B$7))</f>
        <v>0</v>
      </c>
      <c r="L180" s="88">
        <f>J180*BondCalculator!$B$5/12</f>
        <v>0</v>
      </c>
      <c r="M180" s="88">
        <f t="shared" si="25"/>
        <v>0</v>
      </c>
      <c r="N180" s="88">
        <f t="shared" si="18"/>
        <v>0</v>
      </c>
      <c r="P180" s="88">
        <f t="shared" si="19"/>
        <v>4120.72676320774</v>
      </c>
      <c r="Q180" s="89">
        <f>-PV(BondCalculator!$B$9/12,B180,0,1,0)</f>
        <v>0.41362527517920833</v>
      </c>
      <c r="S180" s="90">
        <f t="shared" si="20"/>
        <v>1704.43674137013</v>
      </c>
    </row>
    <row r="181" spans="1:19" ht="15" customHeight="1">
      <c r="A181" s="85" t="s">
        <v>112</v>
      </c>
      <c r="B181" s="96">
        <v>178</v>
      </c>
      <c r="C181" s="86">
        <f t="shared" si="26"/>
        <v>476730.84078107873</v>
      </c>
      <c r="D181" s="86">
        <f>IF(G180=0,0,IF(G180&lt;BondCalculator!$B$12,G180+E181,BondCalculator!$B$12))</f>
        <v>9816.433869864442</v>
      </c>
      <c r="E181" s="86">
        <f>C181*BondCalculator!$B$5/12</f>
        <v>4072.075931671714</v>
      </c>
      <c r="F181" s="86">
        <f t="shared" si="21"/>
        <v>5744.357938192728</v>
      </c>
      <c r="G181" s="86">
        <f t="shared" si="22"/>
        <v>470986.482842886</v>
      </c>
      <c r="H181" s="98">
        <f t="shared" si="23"/>
        <v>0.470986482842886</v>
      </c>
      <c r="J181" s="88">
        <f t="shared" si="24"/>
        <v>0</v>
      </c>
      <c r="K181" s="88">
        <f>IF(N180=0,0,IF(N180&lt;BondCalculator!$B$12+BondCalculator!$B$7,N180+L181,BondCalculator!$B$12+BondCalculator!$B$7))</f>
        <v>0</v>
      </c>
      <c r="L181" s="88">
        <f>J181*BondCalculator!$B$5/12</f>
        <v>0</v>
      </c>
      <c r="M181" s="88">
        <f t="shared" si="25"/>
        <v>0</v>
      </c>
      <c r="N181" s="88">
        <f t="shared" si="18"/>
        <v>0</v>
      </c>
      <c r="P181" s="88">
        <f t="shared" si="19"/>
        <v>4072.075931671714</v>
      </c>
      <c r="Q181" s="89">
        <f>-PV(BondCalculator!$B$9/12,B181,0,1,0)</f>
        <v>0.41156743798926215</v>
      </c>
      <c r="S181" s="90">
        <f t="shared" si="20"/>
        <v>1675.933858495865</v>
      </c>
    </row>
    <row r="182" spans="1:19" ht="15" customHeight="1">
      <c r="A182" s="85" t="s">
        <v>112</v>
      </c>
      <c r="B182" s="96">
        <v>179</v>
      </c>
      <c r="C182" s="86">
        <f t="shared" si="26"/>
        <v>470986.482842886</v>
      </c>
      <c r="D182" s="86">
        <f>IF(G181=0,0,IF(G181&lt;BondCalculator!$B$12,G181+E182,BondCalculator!$B$12))</f>
        <v>9816.433869864442</v>
      </c>
      <c r="E182" s="86">
        <f>C182*BondCalculator!$B$5/12</f>
        <v>4023.009540949651</v>
      </c>
      <c r="F182" s="86">
        <f t="shared" si="21"/>
        <v>5793.424328914791</v>
      </c>
      <c r="G182" s="86">
        <f t="shared" si="22"/>
        <v>465193.0585139712</v>
      </c>
      <c r="H182" s="98">
        <f t="shared" si="23"/>
        <v>0.46519305851397125</v>
      </c>
      <c r="J182" s="88">
        <f t="shared" si="24"/>
        <v>0</v>
      </c>
      <c r="K182" s="88">
        <f>IF(N181=0,0,IF(N181&lt;BondCalculator!$B$12+BondCalculator!$B$7,N181+L182,BondCalculator!$B$12+BondCalculator!$B$7))</f>
        <v>0</v>
      </c>
      <c r="L182" s="88">
        <f>J182*BondCalculator!$B$5/12</f>
        <v>0</v>
      </c>
      <c r="M182" s="88">
        <f t="shared" si="25"/>
        <v>0</v>
      </c>
      <c r="N182" s="88">
        <f t="shared" si="18"/>
        <v>0</v>
      </c>
      <c r="P182" s="88">
        <f t="shared" si="19"/>
        <v>4023.009540949651</v>
      </c>
      <c r="Q182" s="89">
        <f>-PV(BondCalculator!$B$9/12,B182,0,1,0)</f>
        <v>0.4095198387952858</v>
      </c>
      <c r="S182" s="90">
        <f t="shared" si="20"/>
        <v>1647.502218681598</v>
      </c>
    </row>
    <row r="183" spans="1:19" ht="15" customHeight="1">
      <c r="A183" s="85" t="s">
        <v>112</v>
      </c>
      <c r="B183" s="96">
        <v>180</v>
      </c>
      <c r="C183" s="86">
        <f t="shared" si="26"/>
        <v>465193.0585139712</v>
      </c>
      <c r="D183" s="86">
        <f>IF(G182=0,0,IF(G182&lt;BondCalculator!$B$12,G182+E183,BondCalculator!$B$12))</f>
        <v>9816.433869864442</v>
      </c>
      <c r="E183" s="86">
        <f>C183*BondCalculator!$B$5/12</f>
        <v>3973.524041473504</v>
      </c>
      <c r="F183" s="86">
        <f t="shared" si="21"/>
        <v>5842.909828390939</v>
      </c>
      <c r="G183" s="86">
        <f t="shared" si="22"/>
        <v>459350.1486855803</v>
      </c>
      <c r="H183" s="98">
        <f t="shared" si="23"/>
        <v>0.4593501486855803</v>
      </c>
      <c r="J183" s="88">
        <f t="shared" si="24"/>
        <v>0</v>
      </c>
      <c r="K183" s="88">
        <f>IF(N182=0,0,IF(N182&lt;BondCalculator!$B$12+BondCalculator!$B$7,N182+L183,BondCalculator!$B$12+BondCalculator!$B$7))</f>
        <v>0</v>
      </c>
      <c r="L183" s="88">
        <f>J183*BondCalculator!$B$5/12</f>
        <v>0</v>
      </c>
      <c r="M183" s="88">
        <f t="shared" si="25"/>
        <v>0</v>
      </c>
      <c r="N183" s="88">
        <f t="shared" si="18"/>
        <v>0</v>
      </c>
      <c r="P183" s="88">
        <f t="shared" si="19"/>
        <v>3973.524041473504</v>
      </c>
      <c r="Q183" s="89">
        <f>-PV(BondCalculator!$B$9/12,B183,0,1,0)</f>
        <v>0.4074824266619759</v>
      </c>
      <c r="S183" s="90">
        <f t="shared" si="20"/>
        <v>1619.1412188193253</v>
      </c>
    </row>
    <row r="184" spans="1:19" ht="15" customHeight="1">
      <c r="A184" s="85" t="s">
        <v>113</v>
      </c>
      <c r="B184" s="96">
        <v>181</v>
      </c>
      <c r="C184" s="86">
        <f t="shared" si="26"/>
        <v>459350.1486855803</v>
      </c>
      <c r="D184" s="86">
        <f>IF(G183=0,0,IF(G183&lt;BondCalculator!$B$12,G183+E184,BondCalculator!$B$12))</f>
        <v>9816.433869864442</v>
      </c>
      <c r="E184" s="86">
        <f>C184*BondCalculator!$B$5/12</f>
        <v>3923.615853355998</v>
      </c>
      <c r="F184" s="86">
        <f t="shared" si="21"/>
        <v>5892.818016508445</v>
      </c>
      <c r="G184" s="86">
        <f t="shared" si="22"/>
        <v>453457.3306690719</v>
      </c>
      <c r="H184" s="98">
        <f t="shared" si="23"/>
        <v>0.4534573306690719</v>
      </c>
      <c r="J184" s="88">
        <f t="shared" si="24"/>
        <v>0</v>
      </c>
      <c r="K184" s="88">
        <f>IF(N183=0,0,IF(N183&lt;BondCalculator!$B$12+BondCalculator!$B$7,N183+L184,BondCalculator!$B$12+BondCalculator!$B$7))</f>
        <v>0</v>
      </c>
      <c r="L184" s="88">
        <f>J184*BondCalculator!$B$5/12</f>
        <v>0</v>
      </c>
      <c r="M184" s="88">
        <f t="shared" si="25"/>
        <v>0</v>
      </c>
      <c r="N184" s="88">
        <f t="shared" si="18"/>
        <v>0</v>
      </c>
      <c r="P184" s="88">
        <f t="shared" si="19"/>
        <v>3923.615853355998</v>
      </c>
      <c r="Q184" s="89">
        <f>-PV(BondCalculator!$B$9/12,B184,0,1,0)</f>
        <v>0.4054551509074388</v>
      </c>
      <c r="S184" s="90">
        <f t="shared" si="20"/>
        <v>1590.8502579252752</v>
      </c>
    </row>
    <row r="185" spans="1:19" ht="15" customHeight="1">
      <c r="A185" s="85" t="s">
        <v>113</v>
      </c>
      <c r="B185" s="96">
        <v>182</v>
      </c>
      <c r="C185" s="86">
        <f t="shared" si="26"/>
        <v>453457.3306690719</v>
      </c>
      <c r="D185" s="86">
        <f>IF(G184=0,0,IF(G184&lt;BondCalculator!$B$12,G184+E185,BondCalculator!$B$12))</f>
        <v>9816.433869864442</v>
      </c>
      <c r="E185" s="86">
        <f>C185*BondCalculator!$B$5/12</f>
        <v>3873.2813661316554</v>
      </c>
      <c r="F185" s="86">
        <f t="shared" si="21"/>
        <v>5943.1525037327865</v>
      </c>
      <c r="G185" s="86">
        <f t="shared" si="22"/>
        <v>447514.1781653391</v>
      </c>
      <c r="H185" s="98">
        <f t="shared" si="23"/>
        <v>0.4475141781653391</v>
      </c>
      <c r="J185" s="88">
        <f t="shared" si="24"/>
        <v>0</v>
      </c>
      <c r="K185" s="88">
        <f>IF(N184=0,0,IF(N184&lt;BondCalculator!$B$12+BondCalculator!$B$7,N184+L185,BondCalculator!$B$12+BondCalculator!$B$7))</f>
        <v>0</v>
      </c>
      <c r="L185" s="88">
        <f>J185*BondCalculator!$B$5/12</f>
        <v>0</v>
      </c>
      <c r="M185" s="88">
        <f t="shared" si="25"/>
        <v>0</v>
      </c>
      <c r="N185" s="88">
        <f t="shared" si="18"/>
        <v>0</v>
      </c>
      <c r="P185" s="88">
        <f t="shared" si="19"/>
        <v>3873.2813661316554</v>
      </c>
      <c r="Q185" s="89">
        <f>-PV(BondCalculator!$B$9/12,B185,0,1,0)</f>
        <v>0.40343796110192925</v>
      </c>
      <c r="S185" s="90">
        <f t="shared" si="20"/>
        <v>1562.6287371262501</v>
      </c>
    </row>
    <row r="186" spans="1:19" ht="15" customHeight="1">
      <c r="A186" s="85" t="s">
        <v>113</v>
      </c>
      <c r="B186" s="96">
        <v>183</v>
      </c>
      <c r="C186" s="86">
        <f t="shared" si="26"/>
        <v>447514.1781653391</v>
      </c>
      <c r="D186" s="86">
        <f>IF(G185=0,0,IF(G185&lt;BondCalculator!$B$12,G185+E186,BondCalculator!$B$12))</f>
        <v>9816.433869864442</v>
      </c>
      <c r="E186" s="86">
        <f>C186*BondCalculator!$B$5/12</f>
        <v>3822.516938495605</v>
      </c>
      <c r="F186" s="86">
        <f t="shared" si="21"/>
        <v>5993.916931368838</v>
      </c>
      <c r="G186" s="86">
        <f t="shared" si="22"/>
        <v>441520.2612339703</v>
      </c>
      <c r="H186" s="98">
        <f t="shared" si="23"/>
        <v>0.4415202612339703</v>
      </c>
      <c r="J186" s="88">
        <f t="shared" si="24"/>
        <v>0</v>
      </c>
      <c r="K186" s="88">
        <f>IF(N185=0,0,IF(N185&lt;BondCalculator!$B$12+BondCalculator!$B$7,N185+L186,BondCalculator!$B$12+BondCalculator!$B$7))</f>
        <v>0</v>
      </c>
      <c r="L186" s="88">
        <f>J186*BondCalculator!$B$5/12</f>
        <v>0</v>
      </c>
      <c r="M186" s="88">
        <f t="shared" si="25"/>
        <v>0</v>
      </c>
      <c r="N186" s="88">
        <f t="shared" si="18"/>
        <v>0</v>
      </c>
      <c r="P186" s="88">
        <f t="shared" si="19"/>
        <v>3822.516938495605</v>
      </c>
      <c r="Q186" s="89">
        <f>-PV(BondCalculator!$B$9/12,B186,0,1,0)</f>
        <v>0.4014308070665963</v>
      </c>
      <c r="S186" s="90">
        <f t="shared" si="20"/>
        <v>1534.4760596460255</v>
      </c>
    </row>
    <row r="187" spans="1:19" ht="15" customHeight="1">
      <c r="A187" s="85" t="s">
        <v>113</v>
      </c>
      <c r="B187" s="96">
        <v>184</v>
      </c>
      <c r="C187" s="86">
        <f t="shared" si="26"/>
        <v>441520.2612339703</v>
      </c>
      <c r="D187" s="86">
        <f>IF(G186=0,0,IF(G186&lt;BondCalculator!$B$12,G186+E187,BondCalculator!$B$12))</f>
        <v>9816.433869864442</v>
      </c>
      <c r="E187" s="86">
        <f>C187*BondCalculator!$B$5/12</f>
        <v>3771.318898040163</v>
      </c>
      <c r="F187" s="86">
        <f t="shared" si="21"/>
        <v>6045.11497182428</v>
      </c>
      <c r="G187" s="86">
        <f t="shared" si="22"/>
        <v>435475.146262146</v>
      </c>
      <c r="H187" s="98">
        <f t="shared" si="23"/>
        <v>0.435475146262146</v>
      </c>
      <c r="J187" s="88">
        <f t="shared" si="24"/>
        <v>0</v>
      </c>
      <c r="K187" s="88">
        <f>IF(N186=0,0,IF(N186&lt;BondCalculator!$B$12+BondCalculator!$B$7,N186+L187,BondCalculator!$B$12+BondCalculator!$B$7))</f>
        <v>0</v>
      </c>
      <c r="L187" s="88">
        <f>J187*BondCalculator!$B$5/12</f>
        <v>0</v>
      </c>
      <c r="M187" s="88">
        <f t="shared" si="25"/>
        <v>0</v>
      </c>
      <c r="N187" s="88">
        <f t="shared" si="18"/>
        <v>0</v>
      </c>
      <c r="P187" s="88">
        <f t="shared" si="19"/>
        <v>3771.318898040163</v>
      </c>
      <c r="Q187" s="89">
        <f>-PV(BondCalculator!$B$9/12,B187,0,1,0)</f>
        <v>0.39943363887223515</v>
      </c>
      <c r="S187" s="90">
        <f t="shared" si="20"/>
        <v>1506.3916307918103</v>
      </c>
    </row>
    <row r="188" spans="1:19" ht="15" customHeight="1">
      <c r="A188" s="85" t="s">
        <v>113</v>
      </c>
      <c r="B188" s="96">
        <v>185</v>
      </c>
      <c r="C188" s="86">
        <f t="shared" si="26"/>
        <v>435475.146262146</v>
      </c>
      <c r="D188" s="86">
        <f>IF(G187=0,0,IF(G187&lt;BondCalculator!$B$12,G187+E188,BondCalculator!$B$12))</f>
        <v>9816.433869864442</v>
      </c>
      <c r="E188" s="86">
        <f>C188*BondCalculator!$B$5/12</f>
        <v>3719.6835409891632</v>
      </c>
      <c r="F188" s="86">
        <f t="shared" si="21"/>
        <v>6096.75032887528</v>
      </c>
      <c r="G188" s="86">
        <f t="shared" si="22"/>
        <v>429378.39593327075</v>
      </c>
      <c r="H188" s="98">
        <f t="shared" si="23"/>
        <v>0.42937839593327076</v>
      </c>
      <c r="J188" s="88">
        <f t="shared" si="24"/>
        <v>0</v>
      </c>
      <c r="K188" s="88">
        <f>IF(N187=0,0,IF(N187&lt;BondCalculator!$B$12+BondCalculator!$B$7,N187+L188,BondCalculator!$B$12+BondCalculator!$B$7))</f>
        <v>0</v>
      </c>
      <c r="L188" s="88">
        <f>J188*BondCalculator!$B$5/12</f>
        <v>0</v>
      </c>
      <c r="M188" s="88">
        <f t="shared" si="25"/>
        <v>0</v>
      </c>
      <c r="N188" s="88">
        <f t="shared" si="18"/>
        <v>0</v>
      </c>
      <c r="P188" s="88">
        <f t="shared" si="19"/>
        <v>3719.6835409891632</v>
      </c>
      <c r="Q188" s="89">
        <f>-PV(BondCalculator!$B$9/12,B188,0,1,0)</f>
        <v>0.397446406838045</v>
      </c>
      <c r="S188" s="90">
        <f t="shared" si="20"/>
        <v>1478.3748579407588</v>
      </c>
    </row>
    <row r="189" spans="1:19" ht="15" customHeight="1">
      <c r="A189" s="85" t="s">
        <v>113</v>
      </c>
      <c r="B189" s="96">
        <v>186</v>
      </c>
      <c r="C189" s="86">
        <f t="shared" si="26"/>
        <v>429378.39593327075</v>
      </c>
      <c r="D189" s="86">
        <f>IF(G188=0,0,IF(G188&lt;BondCalculator!$B$12,G188+E189,BondCalculator!$B$12))</f>
        <v>9816.433869864442</v>
      </c>
      <c r="E189" s="86">
        <f>C189*BondCalculator!$B$5/12</f>
        <v>3667.607131930021</v>
      </c>
      <c r="F189" s="86">
        <f t="shared" si="21"/>
        <v>6148.8267379344215</v>
      </c>
      <c r="G189" s="86">
        <f t="shared" si="22"/>
        <v>423229.5691953363</v>
      </c>
      <c r="H189" s="98">
        <f t="shared" si="23"/>
        <v>0.42322956919533633</v>
      </c>
      <c r="J189" s="88">
        <f t="shared" si="24"/>
        <v>0</v>
      </c>
      <c r="K189" s="88">
        <f>IF(N188=0,0,IF(N188&lt;BondCalculator!$B$12+BondCalculator!$B$7,N188+L189,BondCalculator!$B$12+BondCalculator!$B$7))</f>
        <v>0</v>
      </c>
      <c r="L189" s="88">
        <f>J189*BondCalculator!$B$5/12</f>
        <v>0</v>
      </c>
      <c r="M189" s="88">
        <f t="shared" si="25"/>
        <v>0</v>
      </c>
      <c r="N189" s="88">
        <f t="shared" si="18"/>
        <v>0</v>
      </c>
      <c r="P189" s="88">
        <f t="shared" si="19"/>
        <v>3667.607131930021</v>
      </c>
      <c r="Q189" s="89">
        <f>-PV(BondCalculator!$B$9/12,B189,0,1,0)</f>
        <v>0.39546906153039313</v>
      </c>
      <c r="S189" s="90">
        <f t="shared" si="20"/>
        <v>1450.425150526542</v>
      </c>
    </row>
    <row r="190" spans="1:19" ht="15" customHeight="1">
      <c r="A190" s="85" t="s">
        <v>113</v>
      </c>
      <c r="B190" s="96">
        <v>187</v>
      </c>
      <c r="C190" s="86">
        <f t="shared" si="26"/>
        <v>423229.5691953363</v>
      </c>
      <c r="D190" s="86">
        <f>IF(G189=0,0,IF(G189&lt;BondCalculator!$B$12,G189+E190,BondCalculator!$B$12))</f>
        <v>9816.433869864442</v>
      </c>
      <c r="E190" s="86">
        <f>C190*BondCalculator!$B$5/12</f>
        <v>3615.0859035434974</v>
      </c>
      <c r="F190" s="86">
        <f t="shared" si="21"/>
        <v>6201.3479663209455</v>
      </c>
      <c r="G190" s="86">
        <f t="shared" si="22"/>
        <v>417028.2212290154</v>
      </c>
      <c r="H190" s="98">
        <f t="shared" si="23"/>
        <v>0.4170282212290154</v>
      </c>
      <c r="J190" s="88">
        <f t="shared" si="24"/>
        <v>0</v>
      </c>
      <c r="K190" s="88">
        <f>IF(N189=0,0,IF(N189&lt;BondCalculator!$B$12+BondCalculator!$B$7,N189+L190,BondCalculator!$B$12+BondCalculator!$B$7))</f>
        <v>0</v>
      </c>
      <c r="L190" s="88">
        <f>J190*BondCalculator!$B$5/12</f>
        <v>0</v>
      </c>
      <c r="M190" s="88">
        <f t="shared" si="25"/>
        <v>0</v>
      </c>
      <c r="N190" s="88">
        <f t="shared" si="18"/>
        <v>0</v>
      </c>
      <c r="P190" s="88">
        <f t="shared" si="19"/>
        <v>3615.0859035434974</v>
      </c>
      <c r="Q190" s="89">
        <f>-PV(BondCalculator!$B$9/12,B190,0,1,0)</f>
        <v>0.3935015537615852</v>
      </c>
      <c r="S190" s="90">
        <f t="shared" si="20"/>
        <v>1422.5419200259703</v>
      </c>
    </row>
    <row r="191" spans="1:19" ht="15" customHeight="1">
      <c r="A191" s="85" t="s">
        <v>113</v>
      </c>
      <c r="B191" s="96">
        <v>188</v>
      </c>
      <c r="C191" s="86">
        <f t="shared" si="26"/>
        <v>417028.2212290154</v>
      </c>
      <c r="D191" s="86">
        <f>IF(G190=0,0,IF(G190&lt;BondCalculator!$B$12,G190+E191,BondCalculator!$B$12))</f>
        <v>9816.433869864442</v>
      </c>
      <c r="E191" s="86">
        <f>C191*BondCalculator!$B$5/12</f>
        <v>3562.116056331173</v>
      </c>
      <c r="F191" s="86">
        <f t="shared" si="21"/>
        <v>6254.317813533269</v>
      </c>
      <c r="G191" s="86">
        <f t="shared" si="22"/>
        <v>410773.90341548214</v>
      </c>
      <c r="H191" s="98">
        <f t="shared" si="23"/>
        <v>0.41077390341548214</v>
      </c>
      <c r="J191" s="88">
        <f t="shared" si="24"/>
        <v>0</v>
      </c>
      <c r="K191" s="88">
        <f>IF(N190=0,0,IF(N190&lt;BondCalculator!$B$12+BondCalculator!$B$7,N190+L191,BondCalculator!$B$12+BondCalculator!$B$7))</f>
        <v>0</v>
      </c>
      <c r="L191" s="88">
        <f>J191*BondCalculator!$B$5/12</f>
        <v>0</v>
      </c>
      <c r="M191" s="88">
        <f t="shared" si="25"/>
        <v>0</v>
      </c>
      <c r="N191" s="88">
        <f t="shared" si="18"/>
        <v>0</v>
      </c>
      <c r="P191" s="88">
        <f t="shared" si="19"/>
        <v>3562.116056331173</v>
      </c>
      <c r="Q191" s="89">
        <f>-PV(BondCalculator!$B$9/12,B191,0,1,0)</f>
        <v>0.39154383458864206</v>
      </c>
      <c r="S191" s="90">
        <f t="shared" si="20"/>
        <v>1394.7245799456787</v>
      </c>
    </row>
    <row r="192" spans="1:19" ht="15" customHeight="1">
      <c r="A192" s="85" t="s">
        <v>113</v>
      </c>
      <c r="B192" s="96">
        <v>189</v>
      </c>
      <c r="C192" s="86">
        <f t="shared" si="26"/>
        <v>410773.90341548214</v>
      </c>
      <c r="D192" s="86">
        <f>IF(G191=0,0,IF(G191&lt;BondCalculator!$B$12,G191+E192,BondCalculator!$B$12))</f>
        <v>9816.433869864442</v>
      </c>
      <c r="E192" s="86">
        <f>C192*BondCalculator!$B$5/12</f>
        <v>3508.6937583405766</v>
      </c>
      <c r="F192" s="86">
        <f t="shared" si="21"/>
        <v>6307.740111523866</v>
      </c>
      <c r="G192" s="86">
        <f t="shared" si="22"/>
        <v>404466.16330395825</v>
      </c>
      <c r="H192" s="98">
        <f t="shared" si="23"/>
        <v>0.40446616330395824</v>
      </c>
      <c r="J192" s="88">
        <f t="shared" si="24"/>
        <v>0</v>
      </c>
      <c r="K192" s="88">
        <f>IF(N191=0,0,IF(N191&lt;BondCalculator!$B$12+BondCalculator!$B$7,N191+L192,BondCalculator!$B$12+BondCalculator!$B$7))</f>
        <v>0</v>
      </c>
      <c r="L192" s="88">
        <f>J192*BondCalculator!$B$5/12</f>
        <v>0</v>
      </c>
      <c r="M192" s="88">
        <f t="shared" si="25"/>
        <v>0</v>
      </c>
      <c r="N192" s="88">
        <f t="shared" si="18"/>
        <v>0</v>
      </c>
      <c r="P192" s="88">
        <f t="shared" si="19"/>
        <v>3508.6937583405766</v>
      </c>
      <c r="Q192" s="89">
        <f>-PV(BondCalculator!$B$9/12,B192,0,1,0)</f>
        <v>0.38959585531208174</v>
      </c>
      <c r="S192" s="90">
        <f t="shared" si="20"/>
        <v>1366.9725458088596</v>
      </c>
    </row>
    <row r="193" spans="1:19" ht="15" customHeight="1">
      <c r="A193" s="85" t="s">
        <v>113</v>
      </c>
      <c r="B193" s="96">
        <v>190</v>
      </c>
      <c r="C193" s="86">
        <f t="shared" si="26"/>
        <v>404466.16330395825</v>
      </c>
      <c r="D193" s="86">
        <f>IF(G192=0,0,IF(G192&lt;BondCalculator!$B$12,G192+E193,BondCalculator!$B$12))</f>
        <v>9816.433869864442</v>
      </c>
      <c r="E193" s="86">
        <f>C193*BondCalculator!$B$5/12</f>
        <v>3454.8151448879767</v>
      </c>
      <c r="F193" s="86">
        <f t="shared" si="21"/>
        <v>6361.618724976466</v>
      </c>
      <c r="G193" s="86">
        <f t="shared" si="22"/>
        <v>398104.54457898176</v>
      </c>
      <c r="H193" s="98">
        <f t="shared" si="23"/>
        <v>0.39810454457898176</v>
      </c>
      <c r="J193" s="88">
        <f t="shared" si="24"/>
        <v>0</v>
      </c>
      <c r="K193" s="88">
        <f>IF(N192=0,0,IF(N192&lt;BondCalculator!$B$12+BondCalculator!$B$7,N192+L193,BondCalculator!$B$12+BondCalculator!$B$7))</f>
        <v>0</v>
      </c>
      <c r="L193" s="88">
        <f>J193*BondCalculator!$B$5/12</f>
        <v>0</v>
      </c>
      <c r="M193" s="88">
        <f t="shared" si="25"/>
        <v>0</v>
      </c>
      <c r="N193" s="88">
        <f t="shared" si="18"/>
        <v>0</v>
      </c>
      <c r="P193" s="88">
        <f t="shared" si="19"/>
        <v>3454.8151448879767</v>
      </c>
      <c r="Q193" s="89">
        <f>-PV(BondCalculator!$B$9/12,B193,0,1,0)</f>
        <v>0.3876575674747083</v>
      </c>
      <c r="S193" s="90">
        <f t="shared" si="20"/>
        <v>1339.285235142055</v>
      </c>
    </row>
    <row r="194" spans="1:19" ht="15" customHeight="1">
      <c r="A194" s="85" t="s">
        <v>113</v>
      </c>
      <c r="B194" s="96">
        <v>191</v>
      </c>
      <c r="C194" s="86">
        <f t="shared" si="26"/>
        <v>398104.54457898176</v>
      </c>
      <c r="D194" s="86">
        <f>IF(G193=0,0,IF(G193&lt;BondCalculator!$B$12,G193+E194,BondCalculator!$B$12))</f>
        <v>9816.433869864442</v>
      </c>
      <c r="E194" s="86">
        <f>C194*BondCalculator!$B$5/12</f>
        <v>3400.4763182788024</v>
      </c>
      <c r="F194" s="86">
        <f t="shared" si="21"/>
        <v>6415.9575515856395</v>
      </c>
      <c r="G194" s="86">
        <f t="shared" si="22"/>
        <v>391688.58702739613</v>
      </c>
      <c r="H194" s="98">
        <f t="shared" si="23"/>
        <v>0.3916885870273961</v>
      </c>
      <c r="J194" s="88">
        <f t="shared" si="24"/>
        <v>0</v>
      </c>
      <c r="K194" s="88">
        <f>IF(N193=0,0,IF(N193&lt;BondCalculator!$B$12+BondCalculator!$B$7,N193+L194,BondCalculator!$B$12+BondCalculator!$B$7))</f>
        <v>0</v>
      </c>
      <c r="L194" s="88">
        <f>J194*BondCalculator!$B$5/12</f>
        <v>0</v>
      </c>
      <c r="M194" s="88">
        <f t="shared" si="25"/>
        <v>0</v>
      </c>
      <c r="N194" s="88">
        <f t="shared" si="18"/>
        <v>0</v>
      </c>
      <c r="P194" s="88">
        <f t="shared" si="19"/>
        <v>3400.4763182788024</v>
      </c>
      <c r="Q194" s="89">
        <f>-PV(BondCalculator!$B$9/12,B194,0,1,0)</f>
        <v>0.38572892286040633</v>
      </c>
      <c r="S194" s="90">
        <f t="shared" si="20"/>
        <v>1311.6620674620026</v>
      </c>
    </row>
    <row r="195" spans="1:19" ht="15" customHeight="1">
      <c r="A195" s="85" t="s">
        <v>113</v>
      </c>
      <c r="B195" s="96">
        <v>192</v>
      </c>
      <c r="C195" s="86">
        <f t="shared" si="26"/>
        <v>391688.58702739613</v>
      </c>
      <c r="D195" s="86">
        <f>IF(G194=0,0,IF(G194&lt;BondCalculator!$B$12,G194+E195,BondCalculator!$B$12))</f>
        <v>9816.433869864442</v>
      </c>
      <c r="E195" s="86">
        <f>C195*BondCalculator!$B$5/12</f>
        <v>3345.673347525675</v>
      </c>
      <c r="F195" s="86">
        <f t="shared" si="21"/>
        <v>6470.760522338767</v>
      </c>
      <c r="G195" s="86">
        <f t="shared" si="22"/>
        <v>385217.82650505734</v>
      </c>
      <c r="H195" s="98">
        <f t="shared" si="23"/>
        <v>0.3852178265050573</v>
      </c>
      <c r="J195" s="88">
        <f t="shared" si="24"/>
        <v>0</v>
      </c>
      <c r="K195" s="88">
        <f>IF(N194=0,0,IF(N194&lt;BondCalculator!$B$12+BondCalculator!$B$7,N194+L195,BondCalculator!$B$12+BondCalculator!$B$7))</f>
        <v>0</v>
      </c>
      <c r="L195" s="88">
        <f>J195*BondCalculator!$B$5/12</f>
        <v>0</v>
      </c>
      <c r="M195" s="88">
        <f t="shared" si="25"/>
        <v>0</v>
      </c>
      <c r="N195" s="88">
        <f t="shared" si="18"/>
        <v>0</v>
      </c>
      <c r="P195" s="88">
        <f t="shared" si="19"/>
        <v>3345.673347525675</v>
      </c>
      <c r="Q195" s="89">
        <f>-PV(BondCalculator!$B$9/12,B195,0,1,0)</f>
        <v>0.38380987349294166</v>
      </c>
      <c r="S195" s="90">
        <f t="shared" si="20"/>
        <v>1284.102464262536</v>
      </c>
    </row>
    <row r="196" spans="1:19" ht="15" customHeight="1">
      <c r="A196" s="85" t="s">
        <v>114</v>
      </c>
      <c r="B196" s="96">
        <v>193</v>
      </c>
      <c r="C196" s="86">
        <f t="shared" si="26"/>
        <v>385217.82650505734</v>
      </c>
      <c r="D196" s="86">
        <f>IF(G195=0,0,IF(G195&lt;BondCalculator!$B$12,G195+E196,BondCalculator!$B$12))</f>
        <v>9816.433869864442</v>
      </c>
      <c r="E196" s="86">
        <f>C196*BondCalculator!$B$5/12</f>
        <v>3290.4022680640314</v>
      </c>
      <c r="F196" s="86">
        <f t="shared" si="21"/>
        <v>6526.0316018004105</v>
      </c>
      <c r="G196" s="86">
        <f t="shared" si="22"/>
        <v>378691.79490325693</v>
      </c>
      <c r="H196" s="98">
        <f t="shared" si="23"/>
        <v>0.37869179490325694</v>
      </c>
      <c r="J196" s="88">
        <f t="shared" si="24"/>
        <v>0</v>
      </c>
      <c r="K196" s="88">
        <f>IF(N195=0,0,IF(N195&lt;BondCalculator!$B$12+BondCalculator!$B$7,N195+L196,BondCalculator!$B$12+BondCalculator!$B$7))</f>
        <v>0</v>
      </c>
      <c r="L196" s="88">
        <f>J196*BondCalculator!$B$5/12</f>
        <v>0</v>
      </c>
      <c r="M196" s="88">
        <f t="shared" si="25"/>
        <v>0</v>
      </c>
      <c r="N196" s="88">
        <f aca="true" t="shared" si="27" ref="N196:N243">J196-M196</f>
        <v>0</v>
      </c>
      <c r="P196" s="88">
        <f aca="true" t="shared" si="28" ref="P196:P243">E196-L196</f>
        <v>3290.4022680640314</v>
      </c>
      <c r="Q196" s="89">
        <f>-PV(BondCalculator!$B$9/12,B196,0,1,0)</f>
        <v>0.3819003716347678</v>
      </c>
      <c r="S196" s="90">
        <f aca="true" t="shared" si="29" ref="S196:S259">P196*Q196</f>
        <v>1256.6058490015364</v>
      </c>
    </row>
    <row r="197" spans="1:19" ht="15" customHeight="1">
      <c r="A197" s="85" t="s">
        <v>114</v>
      </c>
      <c r="B197" s="96">
        <v>194</v>
      </c>
      <c r="C197" s="86">
        <f t="shared" si="26"/>
        <v>378691.79490325693</v>
      </c>
      <c r="D197" s="86">
        <f>IF(G196=0,0,IF(G196&lt;BondCalculator!$B$12,G196+E197,BondCalculator!$B$12))</f>
        <v>9816.433869864442</v>
      </c>
      <c r="E197" s="86">
        <f>C197*BondCalculator!$B$5/12</f>
        <v>3234.6590814653196</v>
      </c>
      <c r="F197" s="86">
        <f aca="true" t="shared" si="30" ref="F197:F243">D197-E197</f>
        <v>6581.774788399123</v>
      </c>
      <c r="G197" s="86">
        <f aca="true" t="shared" si="31" ref="G197:G260">IF(ROUND(C197-F197,0)=0,0,C197-F197)</f>
        <v>372110.0201148578</v>
      </c>
      <c r="H197" s="98">
        <f aca="true" t="shared" si="32" ref="H197:H260">G197/$C$4</f>
        <v>0.37211002011485783</v>
      </c>
      <c r="J197" s="88">
        <f aca="true" t="shared" si="33" ref="J197:J243">IF(ROUND(N196,0)&gt;0,N196,0)</f>
        <v>0</v>
      </c>
      <c r="K197" s="88">
        <f>IF(N196=0,0,IF(N196&lt;BondCalculator!$B$12+BondCalculator!$B$7,N196+L197,BondCalculator!$B$12+BondCalculator!$B$7))</f>
        <v>0</v>
      </c>
      <c r="L197" s="88">
        <f>J197*BondCalculator!$B$5/12</f>
        <v>0</v>
      </c>
      <c r="M197" s="88">
        <f aca="true" t="shared" si="34" ref="M197:M243">IF(K197-L197&gt;N196,N196,K197-L197)</f>
        <v>0</v>
      </c>
      <c r="N197" s="88">
        <f t="shared" si="27"/>
        <v>0</v>
      </c>
      <c r="P197" s="88">
        <f t="shared" si="28"/>
        <v>3234.6590814653196</v>
      </c>
      <c r="Q197" s="89">
        <f>-PV(BondCalculator!$B$9/12,B197,0,1,0)</f>
        <v>0.38000036978583873</v>
      </c>
      <c r="S197" s="90">
        <f t="shared" si="29"/>
        <v>1229.1716470879428</v>
      </c>
    </row>
    <row r="198" spans="1:19" ht="15" customHeight="1">
      <c r="A198" s="85" t="s">
        <v>114</v>
      </c>
      <c r="B198" s="96">
        <v>195</v>
      </c>
      <c r="C198" s="86">
        <f aca="true" t="shared" si="35" ref="C198:C261">IF(ROUND(G197,0)=0,0,G197)</f>
        <v>372110.0201148578</v>
      </c>
      <c r="D198" s="86">
        <f>IF(G197=0,0,IF(G197&lt;BondCalculator!$B$12,G197+E198,BondCalculator!$B$12))</f>
        <v>9816.433869864442</v>
      </c>
      <c r="E198" s="86">
        <f>C198*BondCalculator!$B$5/12</f>
        <v>3178.4397551477437</v>
      </c>
      <c r="F198" s="86">
        <f t="shared" si="30"/>
        <v>6637.994114716699</v>
      </c>
      <c r="G198" s="86">
        <f t="shared" si="31"/>
        <v>365472.0260001411</v>
      </c>
      <c r="H198" s="98">
        <f t="shared" si="32"/>
        <v>0.3654720260001411</v>
      </c>
      <c r="J198" s="88">
        <f t="shared" si="33"/>
        <v>0</v>
      </c>
      <c r="K198" s="88">
        <f>IF(N197=0,0,IF(N197&lt;BondCalculator!$B$12+BondCalculator!$B$7,N197+L198,BondCalculator!$B$12+BondCalculator!$B$7))</f>
        <v>0</v>
      </c>
      <c r="L198" s="88">
        <f>J198*BondCalculator!$B$5/12</f>
        <v>0</v>
      </c>
      <c r="M198" s="88">
        <f t="shared" si="34"/>
        <v>0</v>
      </c>
      <c r="N198" s="88">
        <f t="shared" si="27"/>
        <v>0</v>
      </c>
      <c r="P198" s="88">
        <f t="shared" si="28"/>
        <v>3178.4397551477437</v>
      </c>
      <c r="Q198" s="89">
        <f>-PV(BondCalculator!$B$9/12,B198,0,1,0)</f>
        <v>0.37810982068242655</v>
      </c>
      <c r="S198" s="90">
        <f t="shared" si="29"/>
        <v>1201.7992858688092</v>
      </c>
    </row>
    <row r="199" spans="1:19" ht="15" customHeight="1">
      <c r="A199" s="85" t="s">
        <v>114</v>
      </c>
      <c r="B199" s="96">
        <v>196</v>
      </c>
      <c r="C199" s="86">
        <f t="shared" si="35"/>
        <v>365472.0260001411</v>
      </c>
      <c r="D199" s="86">
        <f>IF(G198=0,0,IF(G198&lt;BondCalculator!$B$12,G198+E199,BondCalculator!$B$12))</f>
        <v>9816.433869864442</v>
      </c>
      <c r="E199" s="86">
        <f>C199*BondCalculator!$B$5/12</f>
        <v>3121.7402220845383</v>
      </c>
      <c r="F199" s="86">
        <f t="shared" si="30"/>
        <v>6694.6936477799045</v>
      </c>
      <c r="G199" s="86">
        <f t="shared" si="31"/>
        <v>358777.3323523612</v>
      </c>
      <c r="H199" s="98">
        <f t="shared" si="32"/>
        <v>0.3587773323523612</v>
      </c>
      <c r="J199" s="88">
        <f t="shared" si="33"/>
        <v>0</v>
      </c>
      <c r="K199" s="88">
        <f>IF(N198=0,0,IF(N198&lt;BondCalculator!$B$12+BondCalculator!$B$7,N198+L199,BondCalculator!$B$12+BondCalculator!$B$7))</f>
        <v>0</v>
      </c>
      <c r="L199" s="88">
        <f>J199*BondCalculator!$B$5/12</f>
        <v>0</v>
      </c>
      <c r="M199" s="88">
        <f t="shared" si="34"/>
        <v>0</v>
      </c>
      <c r="N199" s="88">
        <f t="shared" si="27"/>
        <v>0</v>
      </c>
      <c r="P199" s="88">
        <f t="shared" si="28"/>
        <v>3121.7402220845383</v>
      </c>
      <c r="Q199" s="89">
        <f>-PV(BondCalculator!$B$9/12,B199,0,1,0)</f>
        <v>0.37622867729594694</v>
      </c>
      <c r="S199" s="90">
        <f t="shared" si="29"/>
        <v>1174.4881946164214</v>
      </c>
    </row>
    <row r="200" spans="1:19" ht="15" customHeight="1">
      <c r="A200" s="85" t="s">
        <v>114</v>
      </c>
      <c r="B200" s="96">
        <v>197</v>
      </c>
      <c r="C200" s="86">
        <f t="shared" si="35"/>
        <v>358777.3323523612</v>
      </c>
      <c r="D200" s="86">
        <f>IF(G199=0,0,IF(G199&lt;BondCalculator!$B$12,G199+E200,BondCalculator!$B$12))</f>
        <v>9816.433869864442</v>
      </c>
      <c r="E200" s="86">
        <f>C200*BondCalculator!$B$5/12</f>
        <v>3064.5563805097518</v>
      </c>
      <c r="F200" s="86">
        <f t="shared" si="30"/>
        <v>6751.877489354691</v>
      </c>
      <c r="G200" s="86">
        <f t="shared" si="31"/>
        <v>352025.4548630065</v>
      </c>
      <c r="H200" s="98">
        <f t="shared" si="32"/>
        <v>0.35202545486300646</v>
      </c>
      <c r="J200" s="88">
        <f t="shared" si="33"/>
        <v>0</v>
      </c>
      <c r="K200" s="88">
        <f>IF(N199=0,0,IF(N199&lt;BondCalculator!$B$12+BondCalculator!$B$7,N199+L200,BondCalculator!$B$12+BondCalculator!$B$7))</f>
        <v>0</v>
      </c>
      <c r="L200" s="88">
        <f>J200*BondCalculator!$B$5/12</f>
        <v>0</v>
      </c>
      <c r="M200" s="88">
        <f t="shared" si="34"/>
        <v>0</v>
      </c>
      <c r="N200" s="88">
        <f t="shared" si="27"/>
        <v>0</v>
      </c>
      <c r="P200" s="88">
        <f t="shared" si="28"/>
        <v>3064.5563805097518</v>
      </c>
      <c r="Q200" s="89">
        <f>-PV(BondCalculator!$B$9/12,B200,0,1,0)</f>
        <v>0.37435689283178814</v>
      </c>
      <c r="S200" s="90">
        <f t="shared" si="29"/>
        <v>1147.2378045154617</v>
      </c>
    </row>
    <row r="201" spans="1:19" ht="15" customHeight="1">
      <c r="A201" s="85" t="s">
        <v>114</v>
      </c>
      <c r="B201" s="96">
        <v>198</v>
      </c>
      <c r="C201" s="86">
        <f t="shared" si="35"/>
        <v>352025.4548630065</v>
      </c>
      <c r="D201" s="86">
        <f>IF(G200=0,0,IF(G200&lt;BondCalculator!$B$12,G200+E201,BondCalculator!$B$12))</f>
        <v>9816.433869864442</v>
      </c>
      <c r="E201" s="86">
        <f>C201*BondCalculator!$B$5/12</f>
        <v>3006.8840936215133</v>
      </c>
      <c r="F201" s="86">
        <f t="shared" si="30"/>
        <v>6809.5497762429295</v>
      </c>
      <c r="G201" s="86">
        <f t="shared" si="31"/>
        <v>345215.90508676355</v>
      </c>
      <c r="H201" s="98">
        <f t="shared" si="32"/>
        <v>0.34521590508676353</v>
      </c>
      <c r="J201" s="88">
        <f t="shared" si="33"/>
        <v>0</v>
      </c>
      <c r="K201" s="88">
        <f>IF(N200=0,0,IF(N200&lt;BondCalculator!$B$12+BondCalculator!$B$7,N200+L201,BondCalculator!$B$12+BondCalculator!$B$7))</f>
        <v>0</v>
      </c>
      <c r="L201" s="88">
        <f>J201*BondCalculator!$B$5/12</f>
        <v>0</v>
      </c>
      <c r="M201" s="88">
        <f t="shared" si="34"/>
        <v>0</v>
      </c>
      <c r="N201" s="88">
        <f t="shared" si="27"/>
        <v>0</v>
      </c>
      <c r="P201" s="88">
        <f t="shared" si="28"/>
        <v>3006.8840936215133</v>
      </c>
      <c r="Q201" s="89">
        <f>-PV(BondCalculator!$B$9/12,B201,0,1,0)</f>
        <v>0.3724944207281474</v>
      </c>
      <c r="S201" s="90">
        <f t="shared" si="29"/>
        <v>1120.0475486502262</v>
      </c>
    </row>
    <row r="202" spans="1:19" ht="15" customHeight="1">
      <c r="A202" s="85" t="s">
        <v>114</v>
      </c>
      <c r="B202" s="96">
        <v>199</v>
      </c>
      <c r="C202" s="86">
        <f t="shared" si="35"/>
        <v>345215.90508676355</v>
      </c>
      <c r="D202" s="86">
        <f>IF(G201=0,0,IF(G201&lt;BondCalculator!$B$12,G201+E202,BondCalculator!$B$12))</f>
        <v>9816.433869864442</v>
      </c>
      <c r="E202" s="86">
        <f>C202*BondCalculator!$B$5/12</f>
        <v>2948.719189282772</v>
      </c>
      <c r="F202" s="86">
        <f t="shared" si="30"/>
        <v>6867.71468058167</v>
      </c>
      <c r="G202" s="86">
        <f t="shared" si="31"/>
        <v>338348.1904061819</v>
      </c>
      <c r="H202" s="98">
        <f t="shared" si="32"/>
        <v>0.3383481904061819</v>
      </c>
      <c r="J202" s="88">
        <f t="shared" si="33"/>
        <v>0</v>
      </c>
      <c r="K202" s="88">
        <f>IF(N201=0,0,IF(N201&lt;BondCalculator!$B$12+BondCalculator!$B$7,N201+L202,BondCalculator!$B$12+BondCalculator!$B$7))</f>
        <v>0</v>
      </c>
      <c r="L202" s="88">
        <f>J202*BondCalculator!$B$5/12</f>
        <v>0</v>
      </c>
      <c r="M202" s="88">
        <f t="shared" si="34"/>
        <v>0</v>
      </c>
      <c r="N202" s="88">
        <f t="shared" si="27"/>
        <v>0</v>
      </c>
      <c r="P202" s="88">
        <f t="shared" si="28"/>
        <v>2948.719189282772</v>
      </c>
      <c r="Q202" s="89">
        <f>-PV(BondCalculator!$B$9/12,B202,0,1,0)</f>
        <v>0.3706412146548731</v>
      </c>
      <c r="S202" s="90">
        <f t="shared" si="29"/>
        <v>1092.9168619918992</v>
      </c>
    </row>
    <row r="203" spans="1:19" ht="15" customHeight="1">
      <c r="A203" s="85" t="s">
        <v>114</v>
      </c>
      <c r="B203" s="96">
        <v>200</v>
      </c>
      <c r="C203" s="86">
        <f t="shared" si="35"/>
        <v>338348.1904061819</v>
      </c>
      <c r="D203" s="86">
        <f>IF(G202=0,0,IF(G202&lt;BondCalculator!$B$12,G202+E203,BondCalculator!$B$12))</f>
        <v>9816.433869864442</v>
      </c>
      <c r="E203" s="86">
        <f>C203*BondCalculator!$B$5/12</f>
        <v>2890.05745971947</v>
      </c>
      <c r="F203" s="86">
        <f t="shared" si="30"/>
        <v>6926.376410144972</v>
      </c>
      <c r="G203" s="86">
        <f t="shared" si="31"/>
        <v>331421.81399603694</v>
      </c>
      <c r="H203" s="98">
        <f t="shared" si="32"/>
        <v>0.33142181399603693</v>
      </c>
      <c r="J203" s="88">
        <f t="shared" si="33"/>
        <v>0</v>
      </c>
      <c r="K203" s="88">
        <f>IF(N202=0,0,IF(N202&lt;BondCalculator!$B$12+BondCalculator!$B$7,N202+L203,BondCalculator!$B$12+BondCalculator!$B$7))</f>
        <v>0</v>
      </c>
      <c r="L203" s="88">
        <f>J203*BondCalculator!$B$5/12</f>
        <v>0</v>
      </c>
      <c r="M203" s="88">
        <f t="shared" si="34"/>
        <v>0</v>
      </c>
      <c r="N203" s="88">
        <f t="shared" si="27"/>
        <v>0</v>
      </c>
      <c r="P203" s="88">
        <f t="shared" si="28"/>
        <v>2890.05745971947</v>
      </c>
      <c r="Q203" s="89">
        <f>-PV(BondCalculator!$B$9/12,B203,0,1,0)</f>
        <v>0.36879722851231156</v>
      </c>
      <c r="S203" s="90">
        <f t="shared" si="29"/>
        <v>1065.8451813858721</v>
      </c>
    </row>
    <row r="204" spans="1:19" ht="15" customHeight="1">
      <c r="A204" s="85" t="s">
        <v>114</v>
      </c>
      <c r="B204" s="96">
        <v>201</v>
      </c>
      <c r="C204" s="86">
        <f t="shared" si="35"/>
        <v>331421.81399603694</v>
      </c>
      <c r="D204" s="86">
        <f>IF(G203=0,0,IF(G203&lt;BondCalculator!$B$12,G203+E204,BondCalculator!$B$12))</f>
        <v>9816.433869864442</v>
      </c>
      <c r="E204" s="86">
        <f>C204*BondCalculator!$B$5/12</f>
        <v>2830.894661216149</v>
      </c>
      <c r="F204" s="86">
        <f t="shared" si="30"/>
        <v>6985.539208648293</v>
      </c>
      <c r="G204" s="86">
        <f t="shared" si="31"/>
        <v>324436.2747873886</v>
      </c>
      <c r="H204" s="98">
        <f t="shared" si="32"/>
        <v>0.3244362747873886</v>
      </c>
      <c r="J204" s="88">
        <f t="shared" si="33"/>
        <v>0</v>
      </c>
      <c r="K204" s="88">
        <f>IF(N203=0,0,IF(N203&lt;BondCalculator!$B$12+BondCalculator!$B$7,N203+L204,BondCalculator!$B$12+BondCalculator!$B$7))</f>
        <v>0</v>
      </c>
      <c r="L204" s="88">
        <f>J204*BondCalculator!$B$5/12</f>
        <v>0</v>
      </c>
      <c r="M204" s="88">
        <f t="shared" si="34"/>
        <v>0</v>
      </c>
      <c r="N204" s="88">
        <f t="shared" si="27"/>
        <v>0</v>
      </c>
      <c r="P204" s="88">
        <f t="shared" si="28"/>
        <v>2830.894661216149</v>
      </c>
      <c r="Q204" s="89">
        <f>-PV(BondCalculator!$B$9/12,B204,0,1,0)</f>
        <v>0.36696241643016075</v>
      </c>
      <c r="S204" s="90">
        <f t="shared" si="29"/>
        <v>1038.8319455391193</v>
      </c>
    </row>
    <row r="205" spans="1:19" ht="15" customHeight="1">
      <c r="A205" s="85" t="s">
        <v>114</v>
      </c>
      <c r="B205" s="96">
        <v>202</v>
      </c>
      <c r="C205" s="86">
        <f t="shared" si="35"/>
        <v>324436.2747873886</v>
      </c>
      <c r="D205" s="86">
        <f>IF(G204=0,0,IF(G204&lt;BondCalculator!$B$12,G204+E205,BondCalculator!$B$12))</f>
        <v>9816.433869864442</v>
      </c>
      <c r="E205" s="86">
        <f>C205*BondCalculator!$B$5/12</f>
        <v>2771.226513808944</v>
      </c>
      <c r="F205" s="86">
        <f t="shared" si="30"/>
        <v>7045.207356055498</v>
      </c>
      <c r="G205" s="86">
        <f t="shared" si="31"/>
        <v>317391.0674313331</v>
      </c>
      <c r="H205" s="98">
        <f t="shared" si="32"/>
        <v>0.3173910674313331</v>
      </c>
      <c r="J205" s="88">
        <f t="shared" si="33"/>
        <v>0</v>
      </c>
      <c r="K205" s="88">
        <f>IF(N204=0,0,IF(N204&lt;BondCalculator!$B$12+BondCalculator!$B$7,N204+L205,BondCalculator!$B$12+BondCalculator!$B$7))</f>
        <v>0</v>
      </c>
      <c r="L205" s="88">
        <f>J205*BondCalculator!$B$5/12</f>
        <v>0</v>
      </c>
      <c r="M205" s="88">
        <f t="shared" si="34"/>
        <v>0</v>
      </c>
      <c r="N205" s="88">
        <f t="shared" si="27"/>
        <v>0</v>
      </c>
      <c r="P205" s="88">
        <f t="shared" si="28"/>
        <v>2771.226513808944</v>
      </c>
      <c r="Q205" s="89">
        <f>-PV(BondCalculator!$B$9/12,B205,0,1,0)</f>
        <v>0.36513673276632924</v>
      </c>
      <c r="S205" s="90">
        <f t="shared" si="29"/>
        <v>1011.8765950076227</v>
      </c>
    </row>
    <row r="206" spans="1:19" ht="15" customHeight="1">
      <c r="A206" s="85" t="s">
        <v>114</v>
      </c>
      <c r="B206" s="96">
        <v>203</v>
      </c>
      <c r="C206" s="86">
        <f t="shared" si="35"/>
        <v>317391.0674313331</v>
      </c>
      <c r="D206" s="86">
        <f>IF(G205=0,0,IF(G205&lt;BondCalculator!$B$12,G205+E206,BondCalculator!$B$12))</f>
        <v>9816.433869864442</v>
      </c>
      <c r="E206" s="86">
        <f>C206*BondCalculator!$B$5/12</f>
        <v>2711.0487009759704</v>
      </c>
      <c r="F206" s="86">
        <f t="shared" si="30"/>
        <v>7105.3851688884715</v>
      </c>
      <c r="G206" s="86">
        <f t="shared" si="31"/>
        <v>310285.68226244464</v>
      </c>
      <c r="H206" s="98">
        <f t="shared" si="32"/>
        <v>0.31028568226244463</v>
      </c>
      <c r="J206" s="88">
        <f t="shared" si="33"/>
        <v>0</v>
      </c>
      <c r="K206" s="88">
        <f>IF(N205=0,0,IF(N205&lt;BondCalculator!$B$12+BondCalculator!$B$7,N205+L206,BondCalculator!$B$12+BondCalculator!$B$7))</f>
        <v>0</v>
      </c>
      <c r="L206" s="88">
        <f>J206*BondCalculator!$B$5/12</f>
        <v>0</v>
      </c>
      <c r="M206" s="88">
        <f t="shared" si="34"/>
        <v>0</v>
      </c>
      <c r="N206" s="88">
        <f t="shared" si="27"/>
        <v>0</v>
      </c>
      <c r="P206" s="88">
        <f t="shared" si="28"/>
        <v>2711.0487009759704</v>
      </c>
      <c r="Q206" s="89">
        <f>-PV(BondCalculator!$B$9/12,B206,0,1,0)</f>
        <v>0.3633201321058003</v>
      </c>
      <c r="S206" s="90">
        <f t="shared" si="29"/>
        <v>984.9785721838477</v>
      </c>
    </row>
    <row r="207" spans="1:19" ht="15" customHeight="1">
      <c r="A207" s="85" t="s">
        <v>114</v>
      </c>
      <c r="B207" s="96">
        <v>204</v>
      </c>
      <c r="C207" s="86">
        <f t="shared" si="35"/>
        <v>310285.68226244464</v>
      </c>
      <c r="D207" s="86">
        <f>IF(G206=0,0,IF(G206&lt;BondCalculator!$B$12,G206+E207,BondCalculator!$B$12))</f>
        <v>9816.433869864442</v>
      </c>
      <c r="E207" s="86">
        <f>C207*BondCalculator!$B$5/12</f>
        <v>2650.3568693250477</v>
      </c>
      <c r="F207" s="86">
        <f t="shared" si="30"/>
        <v>7166.077000539395</v>
      </c>
      <c r="G207" s="86">
        <f t="shared" si="31"/>
        <v>303119.60526190524</v>
      </c>
      <c r="H207" s="98">
        <f t="shared" si="32"/>
        <v>0.30311960526190523</v>
      </c>
      <c r="J207" s="88">
        <f t="shared" si="33"/>
        <v>0</v>
      </c>
      <c r="K207" s="88">
        <f>IF(N206=0,0,IF(N206&lt;BondCalculator!$B$12+BondCalculator!$B$7,N206+L207,BondCalculator!$B$12+BondCalculator!$B$7))</f>
        <v>0</v>
      </c>
      <c r="L207" s="88">
        <f>J207*BondCalculator!$B$5/12</f>
        <v>0</v>
      </c>
      <c r="M207" s="88">
        <f t="shared" si="34"/>
        <v>0</v>
      </c>
      <c r="N207" s="88">
        <f t="shared" si="27"/>
        <v>0</v>
      </c>
      <c r="P207" s="88">
        <f t="shared" si="28"/>
        <v>2650.3568693250477</v>
      </c>
      <c r="Q207" s="89">
        <f>-PV(BondCalculator!$B$9/12,B207,0,1,0)</f>
        <v>0.36151256925950287</v>
      </c>
      <c r="S207" s="90">
        <f t="shared" si="29"/>
        <v>958.1373212842705</v>
      </c>
    </row>
    <row r="208" spans="1:19" ht="15" customHeight="1">
      <c r="A208" s="85" t="s">
        <v>115</v>
      </c>
      <c r="B208" s="96">
        <v>205</v>
      </c>
      <c r="C208" s="86">
        <f t="shared" si="35"/>
        <v>303119.60526190524</v>
      </c>
      <c r="D208" s="86">
        <f>IF(G207=0,0,IF(G207&lt;BondCalculator!$B$12,G207+E208,BondCalculator!$B$12))</f>
        <v>9816.433869864442</v>
      </c>
      <c r="E208" s="86">
        <f>C208*BondCalculator!$B$5/12</f>
        <v>2589.1466282787737</v>
      </c>
      <c r="F208" s="86">
        <f t="shared" si="30"/>
        <v>7227.287241585669</v>
      </c>
      <c r="G208" s="86">
        <f t="shared" si="31"/>
        <v>295892.31802031957</v>
      </c>
      <c r="H208" s="98">
        <f t="shared" si="32"/>
        <v>0.29589231802031957</v>
      </c>
      <c r="J208" s="88">
        <f t="shared" si="33"/>
        <v>0</v>
      </c>
      <c r="K208" s="88">
        <f>IF(N207=0,0,IF(N207&lt;BondCalculator!$B$12+BondCalculator!$B$7,N207+L208,BondCalculator!$B$12+BondCalculator!$B$7))</f>
        <v>0</v>
      </c>
      <c r="L208" s="88">
        <f>J208*BondCalculator!$B$5/12</f>
        <v>0</v>
      </c>
      <c r="M208" s="88">
        <f t="shared" si="34"/>
        <v>0</v>
      </c>
      <c r="N208" s="88">
        <f t="shared" si="27"/>
        <v>0</v>
      </c>
      <c r="P208" s="88">
        <f t="shared" si="28"/>
        <v>2589.1466282787737</v>
      </c>
      <c r="Q208" s="89">
        <f>-PV(BondCalculator!$B$9/12,B208,0,1,0)</f>
        <v>0.3597139992631869</v>
      </c>
      <c r="S208" s="90">
        <f t="shared" si="29"/>
        <v>931.3522883369537</v>
      </c>
    </row>
    <row r="209" spans="1:19" ht="15" customHeight="1">
      <c r="A209" s="85" t="s">
        <v>115</v>
      </c>
      <c r="B209" s="96">
        <v>206</v>
      </c>
      <c r="C209" s="86">
        <f t="shared" si="35"/>
        <v>295892.31802031957</v>
      </c>
      <c r="D209" s="86">
        <f>IF(G208=0,0,IF(G208&lt;BondCalculator!$B$12,G208+E209,BondCalculator!$B$12))</f>
        <v>9816.433869864442</v>
      </c>
      <c r="E209" s="86">
        <f>C209*BondCalculator!$B$5/12</f>
        <v>2527.4135497568964</v>
      </c>
      <c r="F209" s="86">
        <f t="shared" si="30"/>
        <v>7289.020320107546</v>
      </c>
      <c r="G209" s="86">
        <f t="shared" si="31"/>
        <v>288603.29770021205</v>
      </c>
      <c r="H209" s="98">
        <f t="shared" si="32"/>
        <v>0.28860329770021204</v>
      </c>
      <c r="J209" s="88">
        <f t="shared" si="33"/>
        <v>0</v>
      </c>
      <c r="K209" s="88">
        <f>IF(N208=0,0,IF(N208&lt;BondCalculator!$B$12+BondCalculator!$B$7,N208+L209,BondCalculator!$B$12+BondCalculator!$B$7))</f>
        <v>0</v>
      </c>
      <c r="L209" s="88">
        <f>J209*BondCalculator!$B$5/12</f>
        <v>0</v>
      </c>
      <c r="M209" s="88">
        <f t="shared" si="34"/>
        <v>0</v>
      </c>
      <c r="N209" s="88">
        <f t="shared" si="27"/>
        <v>0</v>
      </c>
      <c r="P209" s="88">
        <f t="shared" si="28"/>
        <v>2527.4135497568964</v>
      </c>
      <c r="Q209" s="89">
        <f>-PV(BondCalculator!$B$9/12,B209,0,1,0)</f>
        <v>0.3579243773763055</v>
      </c>
      <c r="S209" s="90">
        <f t="shared" si="29"/>
        <v>904.6229211691752</v>
      </c>
    </row>
    <row r="210" spans="1:19" ht="15" customHeight="1">
      <c r="A210" s="85" t="s">
        <v>115</v>
      </c>
      <c r="B210" s="96">
        <v>207</v>
      </c>
      <c r="C210" s="86">
        <f t="shared" si="35"/>
        <v>288603.29770021205</v>
      </c>
      <c r="D210" s="86">
        <f>IF(G209=0,0,IF(G209&lt;BondCalculator!$B$12,G209+E210,BondCalculator!$B$12))</f>
        <v>9816.433869864442</v>
      </c>
      <c r="E210" s="86">
        <f>C210*BondCalculator!$B$5/12</f>
        <v>2465.1531678559777</v>
      </c>
      <c r="F210" s="86">
        <f t="shared" si="30"/>
        <v>7351.280702008465</v>
      </c>
      <c r="G210" s="86">
        <f t="shared" si="31"/>
        <v>281252.0169982036</v>
      </c>
      <c r="H210" s="98">
        <f t="shared" si="32"/>
        <v>0.28125201699820357</v>
      </c>
      <c r="J210" s="88">
        <f t="shared" si="33"/>
        <v>0</v>
      </c>
      <c r="K210" s="88">
        <f>IF(N209=0,0,IF(N209&lt;BondCalculator!$B$12+BondCalculator!$B$7,N209+L210,BondCalculator!$B$12+BondCalculator!$B$7))</f>
        <v>0</v>
      </c>
      <c r="L210" s="88">
        <f>J210*BondCalculator!$B$5/12</f>
        <v>0</v>
      </c>
      <c r="M210" s="88">
        <f t="shared" si="34"/>
        <v>0</v>
      </c>
      <c r="N210" s="88">
        <f t="shared" si="27"/>
        <v>0</v>
      </c>
      <c r="P210" s="88">
        <f t="shared" si="28"/>
        <v>2465.1531678559777</v>
      </c>
      <c r="Q210" s="89">
        <f>-PV(BondCalculator!$B$9/12,B210,0,1,0)</f>
        <v>0.3561436590809011</v>
      </c>
      <c r="S210" s="90">
        <f t="shared" si="29"/>
        <v>877.9486693951027</v>
      </c>
    </row>
    <row r="211" spans="1:19" ht="15" customHeight="1">
      <c r="A211" s="85" t="s">
        <v>115</v>
      </c>
      <c r="B211" s="96">
        <v>208</v>
      </c>
      <c r="C211" s="86">
        <f t="shared" si="35"/>
        <v>281252.0169982036</v>
      </c>
      <c r="D211" s="86">
        <f>IF(G210=0,0,IF(G210&lt;BondCalculator!$B$12,G210+E211,BondCalculator!$B$12))</f>
        <v>9816.433869864442</v>
      </c>
      <c r="E211" s="86">
        <f>C211*BondCalculator!$B$5/12</f>
        <v>2402.360978526322</v>
      </c>
      <c r="F211" s="86">
        <f t="shared" si="30"/>
        <v>7414.072891338121</v>
      </c>
      <c r="G211" s="86">
        <f t="shared" si="31"/>
        <v>273837.94410686544</v>
      </c>
      <c r="H211" s="98">
        <f t="shared" si="32"/>
        <v>0.27383794410686546</v>
      </c>
      <c r="J211" s="88">
        <f t="shared" si="33"/>
        <v>0</v>
      </c>
      <c r="K211" s="88">
        <f>IF(N210=0,0,IF(N210&lt;BondCalculator!$B$12+BondCalculator!$B$7,N210+L211,BondCalculator!$B$12+BondCalculator!$B$7))</f>
        <v>0</v>
      </c>
      <c r="L211" s="88">
        <f>J211*BondCalculator!$B$5/12</f>
        <v>0</v>
      </c>
      <c r="M211" s="88">
        <f t="shared" si="34"/>
        <v>0</v>
      </c>
      <c r="N211" s="88">
        <f t="shared" si="27"/>
        <v>0</v>
      </c>
      <c r="P211" s="88">
        <f t="shared" si="28"/>
        <v>2402.360978526322</v>
      </c>
      <c r="Q211" s="89">
        <f>-PV(BondCalculator!$B$9/12,B211,0,1,0)</f>
        <v>0.3543718000804986</v>
      </c>
      <c r="S211" s="90">
        <f t="shared" si="29"/>
        <v>851.3289844035208</v>
      </c>
    </row>
    <row r="212" spans="1:19" ht="15" customHeight="1">
      <c r="A212" s="85" t="s">
        <v>115</v>
      </c>
      <c r="B212" s="96">
        <v>209</v>
      </c>
      <c r="C212" s="86">
        <f t="shared" si="35"/>
        <v>273837.94410686544</v>
      </c>
      <c r="D212" s="86">
        <f>IF(G211=0,0,IF(G211&lt;BondCalculator!$B$12,G211+E212,BondCalculator!$B$12))</f>
        <v>9816.433869864442</v>
      </c>
      <c r="E212" s="86">
        <f>C212*BondCalculator!$B$5/12</f>
        <v>2339.032439246142</v>
      </c>
      <c r="F212" s="86">
        <f t="shared" si="30"/>
        <v>7477.4014306183</v>
      </c>
      <c r="G212" s="86">
        <f t="shared" si="31"/>
        <v>266360.54267624713</v>
      </c>
      <c r="H212" s="98">
        <f t="shared" si="32"/>
        <v>0.26636054267624715</v>
      </c>
      <c r="J212" s="88">
        <f t="shared" si="33"/>
        <v>0</v>
      </c>
      <c r="K212" s="88">
        <f>IF(N211=0,0,IF(N211&lt;BondCalculator!$B$12+BondCalculator!$B$7,N211+L212,BondCalculator!$B$12+BondCalculator!$B$7))</f>
        <v>0</v>
      </c>
      <c r="L212" s="88">
        <f>J212*BondCalculator!$B$5/12</f>
        <v>0</v>
      </c>
      <c r="M212" s="88">
        <f t="shared" si="34"/>
        <v>0</v>
      </c>
      <c r="N212" s="88">
        <f t="shared" si="27"/>
        <v>0</v>
      </c>
      <c r="P212" s="88">
        <f t="shared" si="28"/>
        <v>2339.032439246142</v>
      </c>
      <c r="Q212" s="89">
        <f>-PV(BondCalculator!$B$9/12,B212,0,1,0)</f>
        <v>0.3526087562990036</v>
      </c>
      <c r="S212" s="90">
        <f t="shared" si="29"/>
        <v>824.7633193456069</v>
      </c>
    </row>
    <row r="213" spans="1:19" ht="15" customHeight="1">
      <c r="A213" s="85" t="s">
        <v>115</v>
      </c>
      <c r="B213" s="96">
        <v>210</v>
      </c>
      <c r="C213" s="86">
        <f t="shared" si="35"/>
        <v>266360.54267624713</v>
      </c>
      <c r="D213" s="86">
        <f>IF(G212=0,0,IF(G212&lt;BondCalculator!$B$12,G212+E213,BondCalculator!$B$12))</f>
        <v>9816.433869864442</v>
      </c>
      <c r="E213" s="86">
        <f>C213*BondCalculator!$B$5/12</f>
        <v>2275.162968692944</v>
      </c>
      <c r="F213" s="86">
        <f t="shared" si="30"/>
        <v>7541.270901171498</v>
      </c>
      <c r="G213" s="86">
        <f t="shared" si="31"/>
        <v>258819.27177507564</v>
      </c>
      <c r="H213" s="98">
        <f t="shared" si="32"/>
        <v>0.25881927177507563</v>
      </c>
      <c r="J213" s="88">
        <f t="shared" si="33"/>
        <v>0</v>
      </c>
      <c r="K213" s="88">
        <f>IF(N212=0,0,IF(N212&lt;BondCalculator!$B$12+BondCalculator!$B$7,N212+L213,BondCalculator!$B$12+BondCalculator!$B$7))</f>
        <v>0</v>
      </c>
      <c r="L213" s="88">
        <f>J213*BondCalculator!$B$5/12</f>
        <v>0</v>
      </c>
      <c r="M213" s="88">
        <f t="shared" si="34"/>
        <v>0</v>
      </c>
      <c r="N213" s="88">
        <f t="shared" si="27"/>
        <v>0</v>
      </c>
      <c r="P213" s="88">
        <f t="shared" si="28"/>
        <v>2275.162968692944</v>
      </c>
      <c r="Q213" s="89">
        <f>-PV(BondCalculator!$B$9/12,B213,0,1,0)</f>
        <v>0.3508544838796057</v>
      </c>
      <c r="S213" s="90">
        <f t="shared" si="29"/>
        <v>798.2511291227545</v>
      </c>
    </row>
    <row r="214" spans="1:19" ht="15" customHeight="1">
      <c r="A214" s="85" t="s">
        <v>115</v>
      </c>
      <c r="B214" s="96">
        <v>211</v>
      </c>
      <c r="C214" s="86">
        <f t="shared" si="35"/>
        <v>258819.27177507564</v>
      </c>
      <c r="D214" s="86">
        <f>IF(G213=0,0,IF(G213&lt;BondCalculator!$B$12,G213+E214,BondCalculator!$B$12))</f>
        <v>9816.433869864442</v>
      </c>
      <c r="E214" s="86">
        <f>C214*BondCalculator!$B$5/12</f>
        <v>2210.7479464121043</v>
      </c>
      <c r="F214" s="86">
        <f t="shared" si="30"/>
        <v>7605.685923452338</v>
      </c>
      <c r="G214" s="86">
        <f t="shared" si="31"/>
        <v>251213.5858516233</v>
      </c>
      <c r="H214" s="98">
        <f t="shared" si="32"/>
        <v>0.2512135858516233</v>
      </c>
      <c r="J214" s="88">
        <f t="shared" si="33"/>
        <v>0</v>
      </c>
      <c r="K214" s="88">
        <f>IF(N213=0,0,IF(N213&lt;BondCalculator!$B$12+BondCalculator!$B$7,N213+L214,BondCalculator!$B$12+BondCalculator!$B$7))</f>
        <v>0</v>
      </c>
      <c r="L214" s="88">
        <f>J214*BondCalculator!$B$5/12</f>
        <v>0</v>
      </c>
      <c r="M214" s="88">
        <f t="shared" si="34"/>
        <v>0</v>
      </c>
      <c r="N214" s="88">
        <f t="shared" si="27"/>
        <v>0</v>
      </c>
      <c r="P214" s="88">
        <f t="shared" si="28"/>
        <v>2210.7479464121043</v>
      </c>
      <c r="Q214" s="89">
        <f>-PV(BondCalculator!$B$9/12,B214,0,1,0)</f>
        <v>0.34910893918368724</v>
      </c>
      <c r="S214" s="90">
        <f t="shared" si="29"/>
        <v>771.7918703744448</v>
      </c>
    </row>
    <row r="215" spans="1:19" ht="15" customHeight="1">
      <c r="A215" s="85" t="s">
        <v>115</v>
      </c>
      <c r="B215" s="96">
        <v>212</v>
      </c>
      <c r="C215" s="86">
        <f t="shared" si="35"/>
        <v>251213.5858516233</v>
      </c>
      <c r="D215" s="86">
        <f>IF(G214=0,0,IF(G214&lt;BondCalculator!$B$12,G214+E215,BondCalculator!$B$12))</f>
        <v>9816.433869864442</v>
      </c>
      <c r="E215" s="86">
        <f>C215*BondCalculator!$B$5/12</f>
        <v>2145.782712482616</v>
      </c>
      <c r="F215" s="86">
        <f t="shared" si="30"/>
        <v>7670.651157381826</v>
      </c>
      <c r="G215" s="86">
        <f t="shared" si="31"/>
        <v>243542.93469424147</v>
      </c>
      <c r="H215" s="98">
        <f t="shared" si="32"/>
        <v>0.24354293469424146</v>
      </c>
      <c r="J215" s="88">
        <f t="shared" si="33"/>
        <v>0</v>
      </c>
      <c r="K215" s="88">
        <f>IF(N214=0,0,IF(N214&lt;BondCalculator!$B$12+BondCalculator!$B$7,N214+L215,BondCalculator!$B$12+BondCalculator!$B$7))</f>
        <v>0</v>
      </c>
      <c r="L215" s="88">
        <f>J215*BondCalculator!$B$5/12</f>
        <v>0</v>
      </c>
      <c r="M215" s="88">
        <f t="shared" si="34"/>
        <v>0</v>
      </c>
      <c r="N215" s="88">
        <f t="shared" si="27"/>
        <v>0</v>
      </c>
      <c r="P215" s="88">
        <f t="shared" si="28"/>
        <v>2145.782712482616</v>
      </c>
      <c r="Q215" s="89">
        <f>-PV(BondCalculator!$B$9/12,B215,0,1,0)</f>
        <v>0.34737207878973864</v>
      </c>
      <c r="S215" s="90">
        <f t="shared" si="29"/>
        <v>745.3850014661703</v>
      </c>
    </row>
    <row r="216" spans="1:19" ht="15" customHeight="1">
      <c r="A216" s="85" t="s">
        <v>115</v>
      </c>
      <c r="B216" s="96">
        <v>213</v>
      </c>
      <c r="C216" s="86">
        <f t="shared" si="35"/>
        <v>243542.93469424147</v>
      </c>
      <c r="D216" s="86">
        <f>IF(G215=0,0,IF(G215&lt;BondCalculator!$B$12,G215+E216,BondCalculator!$B$12))</f>
        <v>9816.433869864442</v>
      </c>
      <c r="E216" s="86">
        <f>C216*BondCalculator!$B$5/12</f>
        <v>2080.262567179979</v>
      </c>
      <c r="F216" s="86">
        <f t="shared" si="30"/>
        <v>7736.171302684463</v>
      </c>
      <c r="G216" s="86">
        <f t="shared" si="31"/>
        <v>235806.763391557</v>
      </c>
      <c r="H216" s="98">
        <f t="shared" si="32"/>
        <v>0.235806763391557</v>
      </c>
      <c r="J216" s="88">
        <f t="shared" si="33"/>
        <v>0</v>
      </c>
      <c r="K216" s="88">
        <f>IF(N215=0,0,IF(N215&lt;BondCalculator!$B$12+BondCalculator!$B$7,N215+L216,BondCalculator!$B$12+BondCalculator!$B$7))</f>
        <v>0</v>
      </c>
      <c r="L216" s="88">
        <f>J216*BondCalculator!$B$5/12</f>
        <v>0</v>
      </c>
      <c r="M216" s="88">
        <f t="shared" si="34"/>
        <v>0</v>
      </c>
      <c r="N216" s="88">
        <f t="shared" si="27"/>
        <v>0</v>
      </c>
      <c r="P216" s="88">
        <f t="shared" si="28"/>
        <v>2080.262567179979</v>
      </c>
      <c r="Q216" s="89">
        <f>-PV(BondCalculator!$B$9/12,B216,0,1,0)</f>
        <v>0.3456438594922773</v>
      </c>
      <c r="S216" s="90">
        <f t="shared" si="29"/>
        <v>719.0299824774008</v>
      </c>
    </row>
    <row r="217" spans="1:19" ht="15" customHeight="1">
      <c r="A217" s="85" t="s">
        <v>115</v>
      </c>
      <c r="B217" s="96">
        <v>214</v>
      </c>
      <c r="C217" s="86">
        <f t="shared" si="35"/>
        <v>235806.763391557</v>
      </c>
      <c r="D217" s="86">
        <f>IF(G216=0,0,IF(G216&lt;BondCalculator!$B$12,G216+E217,BondCalculator!$B$12))</f>
        <v>9816.433869864442</v>
      </c>
      <c r="E217" s="86">
        <f>C217*BondCalculator!$B$5/12</f>
        <v>2014.1827706362158</v>
      </c>
      <c r="F217" s="86">
        <f t="shared" si="30"/>
        <v>7802.251099228227</v>
      </c>
      <c r="G217" s="86">
        <f t="shared" si="31"/>
        <v>228004.51229232879</v>
      </c>
      <c r="H217" s="98">
        <f t="shared" si="32"/>
        <v>0.2280045122923288</v>
      </c>
      <c r="J217" s="88">
        <f t="shared" si="33"/>
        <v>0</v>
      </c>
      <c r="K217" s="88">
        <f>IF(N216=0,0,IF(N216&lt;BondCalculator!$B$12+BondCalculator!$B$7,N216+L217,BondCalculator!$B$12+BondCalculator!$B$7))</f>
        <v>0</v>
      </c>
      <c r="L217" s="88">
        <f>J217*BondCalculator!$B$5/12</f>
        <v>0</v>
      </c>
      <c r="M217" s="88">
        <f t="shared" si="34"/>
        <v>0</v>
      </c>
      <c r="N217" s="88">
        <f t="shared" si="27"/>
        <v>0</v>
      </c>
      <c r="P217" s="88">
        <f t="shared" si="28"/>
        <v>2014.1827706362158</v>
      </c>
      <c r="Q217" s="89">
        <f>-PV(BondCalculator!$B$9/12,B217,0,1,0)</f>
        <v>0.34392423830077357</v>
      </c>
      <c r="S217" s="90">
        <f t="shared" si="29"/>
        <v>692.7262751896022</v>
      </c>
    </row>
    <row r="218" spans="1:19" ht="15" customHeight="1">
      <c r="A218" s="85" t="s">
        <v>115</v>
      </c>
      <c r="B218" s="96">
        <v>215</v>
      </c>
      <c r="C218" s="86">
        <f t="shared" si="35"/>
        <v>228004.51229232879</v>
      </c>
      <c r="D218" s="86">
        <f>IF(G217=0,0,IF(G217&lt;BondCalculator!$B$12,G217+E218,BondCalculator!$B$12))</f>
        <v>9816.433869864442</v>
      </c>
      <c r="E218" s="86">
        <f>C218*BondCalculator!$B$5/12</f>
        <v>1947.5385424969747</v>
      </c>
      <c r="F218" s="86">
        <f t="shared" si="30"/>
        <v>7868.895327367468</v>
      </c>
      <c r="G218" s="86">
        <f t="shared" si="31"/>
        <v>220135.61696496131</v>
      </c>
      <c r="H218" s="98">
        <f t="shared" si="32"/>
        <v>0.2201356169649613</v>
      </c>
      <c r="J218" s="88">
        <f t="shared" si="33"/>
        <v>0</v>
      </c>
      <c r="K218" s="88">
        <f>IF(N217=0,0,IF(N217&lt;BondCalculator!$B$12+BondCalculator!$B$7,N217+L218,BondCalculator!$B$12+BondCalculator!$B$7))</f>
        <v>0</v>
      </c>
      <c r="L218" s="88">
        <f>J218*BondCalculator!$B$5/12</f>
        <v>0</v>
      </c>
      <c r="M218" s="88">
        <f t="shared" si="34"/>
        <v>0</v>
      </c>
      <c r="N218" s="88">
        <f t="shared" si="27"/>
        <v>0</v>
      </c>
      <c r="P218" s="88">
        <f t="shared" si="28"/>
        <v>1947.5385424969747</v>
      </c>
      <c r="Q218" s="89">
        <f>-PV(BondCalculator!$B$9/12,B218,0,1,0)</f>
        <v>0.34221317243858074</v>
      </c>
      <c r="S218" s="90">
        <f t="shared" si="29"/>
        <v>666.4733430742995</v>
      </c>
    </row>
    <row r="219" spans="1:19" ht="15" customHeight="1">
      <c r="A219" s="85" t="s">
        <v>115</v>
      </c>
      <c r="B219" s="96">
        <v>216</v>
      </c>
      <c r="C219" s="86">
        <f t="shared" si="35"/>
        <v>220135.61696496131</v>
      </c>
      <c r="D219" s="86">
        <f>IF(G218=0,0,IF(G218&lt;BondCalculator!$B$12,G218+E219,BondCalculator!$B$12))</f>
        <v>9816.433869864442</v>
      </c>
      <c r="E219" s="86">
        <f>C219*BondCalculator!$B$5/12</f>
        <v>1880.3250615757113</v>
      </c>
      <c r="F219" s="86">
        <f t="shared" si="30"/>
        <v>7936.108808288731</v>
      </c>
      <c r="G219" s="86">
        <f t="shared" si="31"/>
        <v>212199.5081566726</v>
      </c>
      <c r="H219" s="98">
        <f t="shared" si="32"/>
        <v>0.21219950815667257</v>
      </c>
      <c r="J219" s="88">
        <f t="shared" si="33"/>
        <v>0</v>
      </c>
      <c r="K219" s="88">
        <f>IF(N218=0,0,IF(N218&lt;BondCalculator!$B$12+BondCalculator!$B$7,N218+L219,BondCalculator!$B$12+BondCalculator!$B$7))</f>
        <v>0</v>
      </c>
      <c r="L219" s="88">
        <f>J219*BondCalculator!$B$5/12</f>
        <v>0</v>
      </c>
      <c r="M219" s="88">
        <f t="shared" si="34"/>
        <v>0</v>
      </c>
      <c r="N219" s="88">
        <f t="shared" si="27"/>
        <v>0</v>
      </c>
      <c r="P219" s="88">
        <f t="shared" si="28"/>
        <v>1880.3250615757113</v>
      </c>
      <c r="Q219" s="89">
        <f>-PV(BondCalculator!$B$9/12,B219,0,1,0)</f>
        <v>0.34051061934187127</v>
      </c>
      <c r="S219" s="90">
        <f t="shared" si="29"/>
        <v>640.2706512811877</v>
      </c>
    </row>
    <row r="220" spans="1:19" ht="15" customHeight="1">
      <c r="A220" s="85" t="s">
        <v>116</v>
      </c>
      <c r="B220" s="96">
        <v>217</v>
      </c>
      <c r="C220" s="86">
        <f t="shared" si="35"/>
        <v>212199.5081566726</v>
      </c>
      <c r="D220" s="86">
        <f>IF(G219=0,0,IF(G219&lt;BondCalculator!$B$12,G219+E220,BondCalculator!$B$12))</f>
        <v>9816.433869864442</v>
      </c>
      <c r="E220" s="86">
        <f>C220*BondCalculator!$B$5/12</f>
        <v>1812.5374655049116</v>
      </c>
      <c r="F220" s="86">
        <f t="shared" si="30"/>
        <v>8003.896404359531</v>
      </c>
      <c r="G220" s="86">
        <f t="shared" si="31"/>
        <v>204195.61175231307</v>
      </c>
      <c r="H220" s="98">
        <f t="shared" si="32"/>
        <v>0.20419561175231307</v>
      </c>
      <c r="J220" s="88">
        <f t="shared" si="33"/>
        <v>0</v>
      </c>
      <c r="K220" s="88">
        <f>IF(N219=0,0,IF(N219&lt;BondCalculator!$B$12+BondCalculator!$B$7,N219+L220,BondCalculator!$B$12+BondCalculator!$B$7))</f>
        <v>0</v>
      </c>
      <c r="L220" s="88">
        <f>J220*BondCalculator!$B$5/12</f>
        <v>0</v>
      </c>
      <c r="M220" s="88">
        <f t="shared" si="34"/>
        <v>0</v>
      </c>
      <c r="N220" s="88">
        <f t="shared" si="27"/>
        <v>0</v>
      </c>
      <c r="P220" s="88">
        <f t="shared" si="28"/>
        <v>1812.5374655049116</v>
      </c>
      <c r="Q220" s="89">
        <f>-PV(BondCalculator!$B$9/12,B220,0,1,0)</f>
        <v>0.33881653665857847</v>
      </c>
      <c r="S220" s="90">
        <f t="shared" si="29"/>
        <v>614.1176666262918</v>
      </c>
    </row>
    <row r="221" spans="1:19" ht="15" customHeight="1">
      <c r="A221" s="85" t="s">
        <v>116</v>
      </c>
      <c r="B221" s="96">
        <v>218</v>
      </c>
      <c r="C221" s="86">
        <f t="shared" si="35"/>
        <v>204195.61175231307</v>
      </c>
      <c r="D221" s="86">
        <f>IF(G220=0,0,IF(G220&lt;BondCalculator!$B$12,G220+E221,BondCalculator!$B$12))</f>
        <v>9816.433869864442</v>
      </c>
      <c r="E221" s="86">
        <f>C221*BondCalculator!$B$5/12</f>
        <v>1744.1708503843408</v>
      </c>
      <c r="F221" s="86">
        <f t="shared" si="30"/>
        <v>8072.263019480101</v>
      </c>
      <c r="G221" s="86">
        <f t="shared" si="31"/>
        <v>196123.34873283296</v>
      </c>
      <c r="H221" s="98">
        <f t="shared" si="32"/>
        <v>0.19612334873283296</v>
      </c>
      <c r="J221" s="88">
        <f t="shared" si="33"/>
        <v>0</v>
      </c>
      <c r="K221" s="88">
        <f>IF(N220=0,0,IF(N220&lt;BondCalculator!$B$12+BondCalculator!$B$7,N220+L221,BondCalculator!$B$12+BondCalculator!$B$7))</f>
        <v>0</v>
      </c>
      <c r="L221" s="88">
        <f>J221*BondCalculator!$B$5/12</f>
        <v>0</v>
      </c>
      <c r="M221" s="88">
        <f t="shared" si="34"/>
        <v>0</v>
      </c>
      <c r="N221" s="88">
        <f t="shared" si="27"/>
        <v>0</v>
      </c>
      <c r="P221" s="88">
        <f t="shared" si="28"/>
        <v>1744.1708503843408</v>
      </c>
      <c r="Q221" s="89">
        <f>-PV(BondCalculator!$B$9/12,B221,0,1,0)</f>
        <v>0.33713088224734183</v>
      </c>
      <c r="S221" s="90">
        <f t="shared" si="29"/>
        <v>588.0138575801693</v>
      </c>
    </row>
    <row r="222" spans="1:19" ht="15" customHeight="1">
      <c r="A222" s="85" t="s">
        <v>116</v>
      </c>
      <c r="B222" s="96">
        <v>219</v>
      </c>
      <c r="C222" s="86">
        <f t="shared" si="35"/>
        <v>196123.34873283296</v>
      </c>
      <c r="D222" s="86">
        <f>IF(G221=0,0,IF(G221&lt;BondCalculator!$B$12,G221+E222,BondCalculator!$B$12))</f>
        <v>9816.433869864442</v>
      </c>
      <c r="E222" s="86">
        <f>C222*BondCalculator!$B$5/12</f>
        <v>1675.2202704262816</v>
      </c>
      <c r="F222" s="86">
        <f t="shared" si="30"/>
        <v>8141.213599438161</v>
      </c>
      <c r="G222" s="86">
        <f t="shared" si="31"/>
        <v>187982.1351333948</v>
      </c>
      <c r="H222" s="98">
        <f t="shared" si="32"/>
        <v>0.1879821351333948</v>
      </c>
      <c r="J222" s="88">
        <f t="shared" si="33"/>
        <v>0</v>
      </c>
      <c r="K222" s="88">
        <f>IF(N221=0,0,IF(N221&lt;BondCalculator!$B$12+BondCalculator!$B$7,N221+L222,BondCalculator!$B$12+BondCalculator!$B$7))</f>
        <v>0</v>
      </c>
      <c r="L222" s="88">
        <f>J222*BondCalculator!$B$5/12</f>
        <v>0</v>
      </c>
      <c r="M222" s="88">
        <f t="shared" si="34"/>
        <v>0</v>
      </c>
      <c r="N222" s="88">
        <f t="shared" si="27"/>
        <v>0</v>
      </c>
      <c r="P222" s="88">
        <f t="shared" si="28"/>
        <v>1675.2202704262816</v>
      </c>
      <c r="Q222" s="89">
        <f>-PV(BondCalculator!$B$9/12,B222,0,1,0)</f>
        <v>0.3354536141764595</v>
      </c>
      <c r="S222" s="90">
        <f t="shared" si="29"/>
        <v>561.9586942561621</v>
      </c>
    </row>
    <row r="223" spans="1:19" ht="15" customHeight="1">
      <c r="A223" s="85" t="s">
        <v>116</v>
      </c>
      <c r="B223" s="96">
        <v>220</v>
      </c>
      <c r="C223" s="86">
        <f t="shared" si="35"/>
        <v>187982.1351333948</v>
      </c>
      <c r="D223" s="86">
        <f>IF(G222=0,0,IF(G222&lt;BondCalculator!$B$12,G222+E223,BondCalculator!$B$12))</f>
        <v>9816.433869864442</v>
      </c>
      <c r="E223" s="86">
        <f>C223*BondCalculator!$B$5/12</f>
        <v>1605.680737597747</v>
      </c>
      <c r="F223" s="86">
        <f t="shared" si="30"/>
        <v>8210.753132266695</v>
      </c>
      <c r="G223" s="86">
        <f t="shared" si="31"/>
        <v>179771.3820011281</v>
      </c>
      <c r="H223" s="98">
        <f t="shared" si="32"/>
        <v>0.1797713820011281</v>
      </c>
      <c r="J223" s="88">
        <f t="shared" si="33"/>
        <v>0</v>
      </c>
      <c r="K223" s="88">
        <f>IF(N222=0,0,IF(N222&lt;BondCalculator!$B$12+BondCalculator!$B$7,N222+L223,BondCalculator!$B$12+BondCalculator!$B$7))</f>
        <v>0</v>
      </c>
      <c r="L223" s="88">
        <f>J223*BondCalculator!$B$5/12</f>
        <v>0</v>
      </c>
      <c r="M223" s="88">
        <f t="shared" si="34"/>
        <v>0</v>
      </c>
      <c r="N223" s="88">
        <f t="shared" si="27"/>
        <v>0</v>
      </c>
      <c r="P223" s="88">
        <f t="shared" si="28"/>
        <v>1605.680737597747</v>
      </c>
      <c r="Q223" s="89">
        <f>-PV(BondCalculator!$B$9/12,B223,0,1,0)</f>
        <v>0.3337846907228454</v>
      </c>
      <c r="S223" s="90">
        <f t="shared" si="29"/>
        <v>535.9516483986943</v>
      </c>
    </row>
    <row r="224" spans="1:19" ht="15" customHeight="1">
      <c r="A224" s="85" t="s">
        <v>116</v>
      </c>
      <c r="B224" s="96">
        <v>221</v>
      </c>
      <c r="C224" s="86">
        <f t="shared" si="35"/>
        <v>179771.3820011281</v>
      </c>
      <c r="D224" s="86">
        <f>IF(G223=0,0,IF(G223&lt;BondCalculator!$B$12,G223+E224,BondCalculator!$B$12))</f>
        <v>9816.433869864442</v>
      </c>
      <c r="E224" s="86">
        <f>C224*BondCalculator!$B$5/12</f>
        <v>1535.5472212596358</v>
      </c>
      <c r="F224" s="86">
        <f t="shared" si="30"/>
        <v>8280.886648604806</v>
      </c>
      <c r="G224" s="86">
        <f t="shared" si="31"/>
        <v>171490.49535252328</v>
      </c>
      <c r="H224" s="98">
        <f t="shared" si="32"/>
        <v>0.17149049535252328</v>
      </c>
      <c r="J224" s="88">
        <f t="shared" si="33"/>
        <v>0</v>
      </c>
      <c r="K224" s="88">
        <f>IF(N223=0,0,IF(N223&lt;BondCalculator!$B$12+BondCalculator!$B$7,N223+L224,BondCalculator!$B$12+BondCalculator!$B$7))</f>
        <v>0</v>
      </c>
      <c r="L224" s="88">
        <f>J224*BondCalculator!$B$5/12</f>
        <v>0</v>
      </c>
      <c r="M224" s="88">
        <f t="shared" si="34"/>
        <v>0</v>
      </c>
      <c r="N224" s="88">
        <f t="shared" si="27"/>
        <v>0</v>
      </c>
      <c r="P224" s="88">
        <f t="shared" si="28"/>
        <v>1535.5472212596358</v>
      </c>
      <c r="Q224" s="89">
        <f>-PV(BondCalculator!$B$9/12,B224,0,1,0)</f>
        <v>0.3321240703709905</v>
      </c>
      <c r="S224" s="90">
        <f t="shared" si="29"/>
        <v>509.9921933716142</v>
      </c>
    </row>
    <row r="225" spans="1:19" ht="15" customHeight="1">
      <c r="A225" s="85" t="s">
        <v>116</v>
      </c>
      <c r="B225" s="96">
        <v>222</v>
      </c>
      <c r="C225" s="86">
        <f t="shared" si="35"/>
        <v>171490.49535252328</v>
      </c>
      <c r="D225" s="86">
        <f>IF(G224=0,0,IF(G224&lt;BondCalculator!$B$12,G224+E225,BondCalculator!$B$12))</f>
        <v>9816.433869864442</v>
      </c>
      <c r="E225" s="86">
        <f>C225*BondCalculator!$B$5/12</f>
        <v>1464.814647802803</v>
      </c>
      <c r="F225" s="86">
        <f t="shared" si="30"/>
        <v>8351.61922206164</v>
      </c>
      <c r="G225" s="86">
        <f t="shared" si="31"/>
        <v>163138.87613046163</v>
      </c>
      <c r="H225" s="98">
        <f t="shared" si="32"/>
        <v>0.16313887613046163</v>
      </c>
      <c r="J225" s="88">
        <f t="shared" si="33"/>
        <v>0</v>
      </c>
      <c r="K225" s="88">
        <f>IF(N224=0,0,IF(N224&lt;BondCalculator!$B$12+BondCalculator!$B$7,N224+L225,BondCalculator!$B$12+BondCalculator!$B$7))</f>
        <v>0</v>
      </c>
      <c r="L225" s="88">
        <f>J225*BondCalculator!$B$5/12</f>
        <v>0</v>
      </c>
      <c r="M225" s="88">
        <f t="shared" si="34"/>
        <v>0</v>
      </c>
      <c r="N225" s="88">
        <f t="shared" si="27"/>
        <v>0</v>
      </c>
      <c r="P225" s="88">
        <f t="shared" si="28"/>
        <v>1464.814647802803</v>
      </c>
      <c r="Q225" s="89">
        <f>-PV(BondCalculator!$B$9/12,B225,0,1,0)</f>
        <v>0.3304717118119309</v>
      </c>
      <c r="S225" s="90">
        <f t="shared" si="29"/>
        <v>484.07980414658294</v>
      </c>
    </row>
    <row r="226" spans="1:19" ht="15" customHeight="1">
      <c r="A226" s="85" t="s">
        <v>116</v>
      </c>
      <c r="B226" s="96">
        <v>223</v>
      </c>
      <c r="C226" s="86">
        <f t="shared" si="35"/>
        <v>163138.87613046163</v>
      </c>
      <c r="D226" s="86">
        <f>IF(G225=0,0,IF(G225&lt;BondCalculator!$B$12,G225+E226,BondCalculator!$B$12))</f>
        <v>9816.433869864442</v>
      </c>
      <c r="E226" s="86">
        <f>C226*BondCalculator!$B$5/12</f>
        <v>1393.4779002810265</v>
      </c>
      <c r="F226" s="86">
        <f t="shared" si="30"/>
        <v>8422.955969583416</v>
      </c>
      <c r="G226" s="86">
        <f t="shared" si="31"/>
        <v>154715.92016087822</v>
      </c>
      <c r="H226" s="98">
        <f t="shared" si="32"/>
        <v>0.1547159201608782</v>
      </c>
      <c r="J226" s="88">
        <f t="shared" si="33"/>
        <v>0</v>
      </c>
      <c r="K226" s="88">
        <f>IF(N225=0,0,IF(N225&lt;BondCalculator!$B$12+BondCalculator!$B$7,N225+L226,BondCalculator!$B$12+BondCalculator!$B$7))</f>
        <v>0</v>
      </c>
      <c r="L226" s="88">
        <f>J226*BondCalculator!$B$5/12</f>
        <v>0</v>
      </c>
      <c r="M226" s="88">
        <f t="shared" si="34"/>
        <v>0</v>
      </c>
      <c r="N226" s="88">
        <f t="shared" si="27"/>
        <v>0</v>
      </c>
      <c r="P226" s="88">
        <f t="shared" si="28"/>
        <v>1393.4779002810265</v>
      </c>
      <c r="Q226" s="89">
        <f>-PV(BondCalculator!$B$9/12,B226,0,1,0)</f>
        <v>0.3288275739422199</v>
      </c>
      <c r="S226" s="90">
        <f t="shared" si="29"/>
        <v>458.21395729150856</v>
      </c>
    </row>
    <row r="227" spans="1:19" ht="15" customHeight="1">
      <c r="A227" s="85" t="s">
        <v>116</v>
      </c>
      <c r="B227" s="96">
        <v>224</v>
      </c>
      <c r="C227" s="86">
        <f t="shared" si="35"/>
        <v>154715.92016087822</v>
      </c>
      <c r="D227" s="86">
        <f>IF(G226=0,0,IF(G226&lt;BondCalculator!$B$12,G226+E227,BondCalculator!$B$12))</f>
        <v>9816.433869864442</v>
      </c>
      <c r="E227" s="86">
        <f>C227*BondCalculator!$B$5/12</f>
        <v>1321.5318180408347</v>
      </c>
      <c r="F227" s="86">
        <f t="shared" si="30"/>
        <v>8494.902051823608</v>
      </c>
      <c r="G227" s="86">
        <f t="shared" si="31"/>
        <v>146221.0181090546</v>
      </c>
      <c r="H227" s="98">
        <f t="shared" si="32"/>
        <v>0.1462210181090546</v>
      </c>
      <c r="J227" s="88">
        <f t="shared" si="33"/>
        <v>0</v>
      </c>
      <c r="K227" s="88">
        <f>IF(N226=0,0,IF(N226&lt;BondCalculator!$B$12+BondCalculator!$B$7,N226+L227,BondCalculator!$B$12+BondCalculator!$B$7))</f>
        <v>0</v>
      </c>
      <c r="L227" s="88">
        <f>J227*BondCalculator!$B$5/12</f>
        <v>0</v>
      </c>
      <c r="M227" s="88">
        <f t="shared" si="34"/>
        <v>0</v>
      </c>
      <c r="N227" s="88">
        <f t="shared" si="27"/>
        <v>0</v>
      </c>
      <c r="P227" s="88">
        <f t="shared" si="28"/>
        <v>1321.5318180408347</v>
      </c>
      <c r="Q227" s="89">
        <f>-PV(BondCalculator!$B$9/12,B227,0,1,0)</f>
        <v>0.3271916158629054</v>
      </c>
      <c r="S227" s="90">
        <f t="shared" si="29"/>
        <v>432.39413095902376</v>
      </c>
    </row>
    <row r="228" spans="1:19" ht="15" customHeight="1">
      <c r="A228" s="85" t="s">
        <v>116</v>
      </c>
      <c r="B228" s="96">
        <v>225</v>
      </c>
      <c r="C228" s="86">
        <f t="shared" si="35"/>
        <v>146221.0181090546</v>
      </c>
      <c r="D228" s="86">
        <f>IF(G227=0,0,IF(G227&lt;BondCalculator!$B$12,G227+E228,BondCalculator!$B$12))</f>
        <v>9816.433869864442</v>
      </c>
      <c r="E228" s="86">
        <f>C228*BondCalculator!$B$5/12</f>
        <v>1248.9711963481745</v>
      </c>
      <c r="F228" s="86">
        <f t="shared" si="30"/>
        <v>8567.462673516267</v>
      </c>
      <c r="G228" s="86">
        <f t="shared" si="31"/>
        <v>137653.55543553832</v>
      </c>
      <c r="H228" s="98">
        <f t="shared" si="32"/>
        <v>0.1376535554355383</v>
      </c>
      <c r="J228" s="88">
        <f t="shared" si="33"/>
        <v>0</v>
      </c>
      <c r="K228" s="88">
        <f>IF(N227=0,0,IF(N227&lt;BondCalculator!$B$12+BondCalculator!$B$7,N227+L228,BondCalculator!$B$12+BondCalculator!$B$7))</f>
        <v>0</v>
      </c>
      <c r="L228" s="88">
        <f>J228*BondCalculator!$B$5/12</f>
        <v>0</v>
      </c>
      <c r="M228" s="88">
        <f t="shared" si="34"/>
        <v>0</v>
      </c>
      <c r="N228" s="88">
        <f t="shared" si="27"/>
        <v>0</v>
      </c>
      <c r="P228" s="88">
        <f t="shared" si="28"/>
        <v>1248.9711963481745</v>
      </c>
      <c r="Q228" s="89">
        <f>-PV(BondCalculator!$B$9/12,B228,0,1,0)</f>
        <v>0.3255637968785129</v>
      </c>
      <c r="S228" s="90">
        <f t="shared" si="29"/>
        <v>406.61980487501035</v>
      </c>
    </row>
    <row r="229" spans="1:19" ht="15" customHeight="1">
      <c r="A229" s="85" t="s">
        <v>116</v>
      </c>
      <c r="B229" s="96">
        <v>226</v>
      </c>
      <c r="C229" s="86">
        <f t="shared" si="35"/>
        <v>137653.55543553832</v>
      </c>
      <c r="D229" s="86">
        <f>IF(G228=0,0,IF(G228&lt;BondCalculator!$B$12,G228+E229,BondCalculator!$B$12))</f>
        <v>9816.433869864442</v>
      </c>
      <c r="E229" s="86">
        <f>C229*BondCalculator!$B$5/12</f>
        <v>1175.7907860118896</v>
      </c>
      <c r="F229" s="86">
        <f t="shared" si="30"/>
        <v>8640.643083852552</v>
      </c>
      <c r="G229" s="86">
        <f t="shared" si="31"/>
        <v>129012.91235168577</v>
      </c>
      <c r="H229" s="98">
        <f t="shared" si="32"/>
        <v>0.12901291235168577</v>
      </c>
      <c r="J229" s="88">
        <f t="shared" si="33"/>
        <v>0</v>
      </c>
      <c r="K229" s="88">
        <f>IF(N228=0,0,IF(N228&lt;BondCalculator!$B$12+BondCalculator!$B$7,N228+L229,BondCalculator!$B$12+BondCalculator!$B$7))</f>
        <v>0</v>
      </c>
      <c r="L229" s="88">
        <f>J229*BondCalculator!$B$5/12</f>
        <v>0</v>
      </c>
      <c r="M229" s="88">
        <f t="shared" si="34"/>
        <v>0</v>
      </c>
      <c r="N229" s="88">
        <f t="shared" si="27"/>
        <v>0</v>
      </c>
      <c r="P229" s="88">
        <f t="shared" si="28"/>
        <v>1175.7907860118896</v>
      </c>
      <c r="Q229" s="89">
        <f>-PV(BondCalculator!$B$9/12,B229,0,1,0)</f>
        <v>0.32394407649603274</v>
      </c>
      <c r="S229" s="90">
        <f t="shared" si="29"/>
        <v>380.890460327166</v>
      </c>
    </row>
    <row r="230" spans="1:19" ht="15" customHeight="1">
      <c r="A230" s="85" t="s">
        <v>116</v>
      </c>
      <c r="B230" s="96">
        <v>227</v>
      </c>
      <c r="C230" s="86">
        <f t="shared" si="35"/>
        <v>129012.91235168577</v>
      </c>
      <c r="D230" s="86">
        <f>IF(G229=0,0,IF(G229&lt;BondCalculator!$B$12,G229+E230,BondCalculator!$B$12))</f>
        <v>9816.433869864442</v>
      </c>
      <c r="E230" s="86">
        <f>C230*BondCalculator!$B$5/12</f>
        <v>1101.9852930039826</v>
      </c>
      <c r="F230" s="86">
        <f t="shared" si="30"/>
        <v>8714.448576860459</v>
      </c>
      <c r="G230" s="86">
        <f t="shared" si="31"/>
        <v>120298.4637748253</v>
      </c>
      <c r="H230" s="98">
        <f t="shared" si="32"/>
        <v>0.1202984637748253</v>
      </c>
      <c r="J230" s="88">
        <f t="shared" si="33"/>
        <v>0</v>
      </c>
      <c r="K230" s="88">
        <f>IF(N229=0,0,IF(N229&lt;BondCalculator!$B$12+BondCalculator!$B$7,N229+L230,BondCalculator!$B$12+BondCalculator!$B$7))</f>
        <v>0</v>
      </c>
      <c r="L230" s="88">
        <f>J230*BondCalculator!$B$5/12</f>
        <v>0</v>
      </c>
      <c r="M230" s="88">
        <f t="shared" si="34"/>
        <v>0</v>
      </c>
      <c r="N230" s="88">
        <f t="shared" si="27"/>
        <v>0</v>
      </c>
      <c r="P230" s="88">
        <f t="shared" si="28"/>
        <v>1101.9852930039826</v>
      </c>
      <c r="Q230" s="89">
        <f>-PV(BondCalculator!$B$9/12,B230,0,1,0)</f>
        <v>0.3223324144239132</v>
      </c>
      <c r="S230" s="90">
        <f t="shared" si="29"/>
        <v>355.2055801536171</v>
      </c>
    </row>
    <row r="231" spans="1:19" ht="15" customHeight="1">
      <c r="A231" s="85" t="s">
        <v>116</v>
      </c>
      <c r="B231" s="96">
        <v>228</v>
      </c>
      <c r="C231" s="86">
        <f t="shared" si="35"/>
        <v>120298.4637748253</v>
      </c>
      <c r="D231" s="86">
        <f>IF(G230=0,0,IF(G230&lt;BondCalculator!$B$12,G230+E231,BondCalculator!$B$12))</f>
        <v>9816.433869864442</v>
      </c>
      <c r="E231" s="86">
        <f>C231*BondCalculator!$B$5/12</f>
        <v>1027.5493780766326</v>
      </c>
      <c r="F231" s="86">
        <f t="shared" si="30"/>
        <v>8788.88449178781</v>
      </c>
      <c r="G231" s="86">
        <f t="shared" si="31"/>
        <v>111509.57928303748</v>
      </c>
      <c r="H231" s="98">
        <f t="shared" si="32"/>
        <v>0.11150957928303748</v>
      </c>
      <c r="J231" s="88">
        <f t="shared" si="33"/>
        <v>0</v>
      </c>
      <c r="K231" s="88">
        <f>IF(N230=0,0,IF(N230&lt;BondCalculator!$B$12+BondCalculator!$B$7,N230+L231,BondCalculator!$B$12+BondCalculator!$B$7))</f>
        <v>0</v>
      </c>
      <c r="L231" s="88">
        <f>J231*BondCalculator!$B$5/12</f>
        <v>0</v>
      </c>
      <c r="M231" s="88">
        <f t="shared" si="34"/>
        <v>0</v>
      </c>
      <c r="N231" s="88">
        <f t="shared" si="27"/>
        <v>0</v>
      </c>
      <c r="P231" s="88">
        <f t="shared" si="28"/>
        <v>1027.5493780766326</v>
      </c>
      <c r="Q231" s="89">
        <f>-PV(BondCalculator!$B$9/12,B231,0,1,0)</f>
        <v>0.32072877057105803</v>
      </c>
      <c r="S231" s="90">
        <f t="shared" si="29"/>
        <v>329.56464873157364</v>
      </c>
    </row>
    <row r="232" spans="1:19" ht="15" customHeight="1">
      <c r="A232" s="85" t="s">
        <v>117</v>
      </c>
      <c r="B232" s="96">
        <v>229</v>
      </c>
      <c r="C232" s="86">
        <f t="shared" si="35"/>
        <v>111509.57928303748</v>
      </c>
      <c r="D232" s="86">
        <f>IF(G231=0,0,IF(G231&lt;BondCalculator!$B$12,G231+E232,BondCalculator!$B$12))</f>
        <v>9816.433869864442</v>
      </c>
      <c r="E232" s="86">
        <f>C232*BondCalculator!$B$5/12</f>
        <v>952.4776563759451</v>
      </c>
      <c r="F232" s="86">
        <f t="shared" si="30"/>
        <v>8863.956213488498</v>
      </c>
      <c r="G232" s="86">
        <f t="shared" si="31"/>
        <v>102645.62306954898</v>
      </c>
      <c r="H232" s="98">
        <f t="shared" si="32"/>
        <v>0.10264562306954898</v>
      </c>
      <c r="J232" s="88">
        <f t="shared" si="33"/>
        <v>0</v>
      </c>
      <c r="K232" s="88">
        <f>IF(N231=0,0,IF(N231&lt;BondCalculator!$B$12+BondCalculator!$B$7,N231+L232,BondCalculator!$B$12+BondCalculator!$B$7))</f>
        <v>0</v>
      </c>
      <c r="L232" s="88">
        <f>J232*BondCalculator!$B$5/12</f>
        <v>0</v>
      </c>
      <c r="M232" s="88">
        <f t="shared" si="34"/>
        <v>0</v>
      </c>
      <c r="N232" s="88">
        <f t="shared" si="27"/>
        <v>0</v>
      </c>
      <c r="P232" s="88">
        <f t="shared" si="28"/>
        <v>952.4776563759451</v>
      </c>
      <c r="Q232" s="89">
        <f>-PV(BondCalculator!$B$9/12,B232,0,1,0)</f>
        <v>0.319133105045829</v>
      </c>
      <c r="S232" s="90">
        <f t="shared" si="29"/>
        <v>303.9671519660295</v>
      </c>
    </row>
    <row r="233" spans="1:19" ht="15" customHeight="1">
      <c r="A233" s="85" t="s">
        <v>117</v>
      </c>
      <c r="B233" s="96">
        <v>230</v>
      </c>
      <c r="C233" s="86">
        <f t="shared" si="35"/>
        <v>102645.62306954898</v>
      </c>
      <c r="D233" s="86">
        <f>IF(G232=0,0,IF(G232&lt;BondCalculator!$B$12,G232+E233,BondCalculator!$B$12))</f>
        <v>9816.433869864442</v>
      </c>
      <c r="E233" s="86">
        <f>C233*BondCalculator!$B$5/12</f>
        <v>876.7646970523974</v>
      </c>
      <c r="F233" s="86">
        <f t="shared" si="30"/>
        <v>8939.669172812046</v>
      </c>
      <c r="G233" s="86">
        <f t="shared" si="31"/>
        <v>93705.95389673693</v>
      </c>
      <c r="H233" s="98">
        <f t="shared" si="32"/>
        <v>0.09370595389673693</v>
      </c>
      <c r="J233" s="88">
        <f t="shared" si="33"/>
        <v>0</v>
      </c>
      <c r="K233" s="88">
        <f>IF(N232=0,0,IF(N232&lt;BondCalculator!$B$12+BondCalculator!$B$7,N232+L233,BondCalculator!$B$12+BondCalculator!$B$7))</f>
        <v>0</v>
      </c>
      <c r="L233" s="88">
        <f>J233*BondCalculator!$B$5/12</f>
        <v>0</v>
      </c>
      <c r="M233" s="88">
        <f t="shared" si="34"/>
        <v>0</v>
      </c>
      <c r="N233" s="88">
        <f t="shared" si="27"/>
        <v>0</v>
      </c>
      <c r="P233" s="88">
        <f t="shared" si="28"/>
        <v>876.7646970523974</v>
      </c>
      <c r="Q233" s="89">
        <f>-PV(BondCalculator!$B$9/12,B233,0,1,0)</f>
        <v>0.3175453781550537</v>
      </c>
      <c r="S233" s="90">
        <f t="shared" si="29"/>
        <v>278.4125772785046</v>
      </c>
    </row>
    <row r="234" spans="1:19" ht="15" customHeight="1">
      <c r="A234" s="85" t="s">
        <v>117</v>
      </c>
      <c r="B234" s="96">
        <v>231</v>
      </c>
      <c r="C234" s="86">
        <f t="shared" si="35"/>
        <v>93705.95389673693</v>
      </c>
      <c r="D234" s="86">
        <f>IF(G233=0,0,IF(G233&lt;BondCalculator!$B$12,G233+E234,BondCalculator!$B$12))</f>
        <v>9816.433869864442</v>
      </c>
      <c r="E234" s="86">
        <f>C234*BondCalculator!$B$5/12</f>
        <v>800.4050228679612</v>
      </c>
      <c r="F234" s="86">
        <f t="shared" si="30"/>
        <v>9016.028846996482</v>
      </c>
      <c r="G234" s="86">
        <f t="shared" si="31"/>
        <v>84689.92504974044</v>
      </c>
      <c r="H234" s="98">
        <f t="shared" si="32"/>
        <v>0.08468992504974045</v>
      </c>
      <c r="J234" s="88">
        <f t="shared" si="33"/>
        <v>0</v>
      </c>
      <c r="K234" s="88">
        <f>IF(N233=0,0,IF(N233&lt;BondCalculator!$B$12+BondCalculator!$B$7,N233+L234,BondCalculator!$B$12+BondCalculator!$B$7))</f>
        <v>0</v>
      </c>
      <c r="L234" s="88">
        <f>J234*BondCalculator!$B$5/12</f>
        <v>0</v>
      </c>
      <c r="M234" s="88">
        <f t="shared" si="34"/>
        <v>0</v>
      </c>
      <c r="N234" s="88">
        <f t="shared" si="27"/>
        <v>0</v>
      </c>
      <c r="P234" s="88">
        <f t="shared" si="28"/>
        <v>800.4050228679612</v>
      </c>
      <c r="Q234" s="89">
        <f>-PV(BondCalculator!$B$9/12,B234,0,1,0)</f>
        <v>0.31596555040303853</v>
      </c>
      <c r="S234" s="90">
        <f t="shared" si="29"/>
        <v>252.900413595832</v>
      </c>
    </row>
    <row r="235" spans="1:19" ht="15" customHeight="1">
      <c r="A235" s="85" t="s">
        <v>117</v>
      </c>
      <c r="B235" s="96">
        <v>232</v>
      </c>
      <c r="C235" s="86">
        <f t="shared" si="35"/>
        <v>84689.92504974044</v>
      </c>
      <c r="D235" s="86">
        <f>IF(G234=0,0,IF(G234&lt;BondCalculator!$B$12,G234+E235,BondCalculator!$B$12))</f>
        <v>9816.433869864442</v>
      </c>
      <c r="E235" s="86">
        <f>C235*BondCalculator!$B$5/12</f>
        <v>723.3931097998662</v>
      </c>
      <c r="F235" s="86">
        <f t="shared" si="30"/>
        <v>9093.040760064576</v>
      </c>
      <c r="G235" s="86">
        <f t="shared" si="31"/>
        <v>75596.88428967587</v>
      </c>
      <c r="H235" s="98">
        <f t="shared" si="32"/>
        <v>0.07559688428967587</v>
      </c>
      <c r="J235" s="88">
        <f t="shared" si="33"/>
        <v>0</v>
      </c>
      <c r="K235" s="88">
        <f>IF(N234=0,0,IF(N234&lt;BondCalculator!$B$12+BondCalculator!$B$7,N234+L235,BondCalculator!$B$12+BondCalculator!$B$7))</f>
        <v>0</v>
      </c>
      <c r="L235" s="88">
        <f>J235*BondCalculator!$B$5/12</f>
        <v>0</v>
      </c>
      <c r="M235" s="88">
        <f t="shared" si="34"/>
        <v>0</v>
      </c>
      <c r="N235" s="88">
        <f t="shared" si="27"/>
        <v>0</v>
      </c>
      <c r="P235" s="88">
        <f t="shared" si="28"/>
        <v>723.3931097998662</v>
      </c>
      <c r="Q235" s="89">
        <f>-PV(BondCalculator!$B$9/12,B235,0,1,0)</f>
        <v>0.31439358249058563</v>
      </c>
      <c r="S235" s="90">
        <f t="shared" si="29"/>
        <v>227.43015133898552</v>
      </c>
    </row>
    <row r="236" spans="1:19" ht="15" customHeight="1">
      <c r="A236" s="85" t="s">
        <v>117</v>
      </c>
      <c r="B236" s="96">
        <v>233</v>
      </c>
      <c r="C236" s="86">
        <f t="shared" si="35"/>
        <v>75596.88428967587</v>
      </c>
      <c r="D236" s="86">
        <f>IF(G235=0,0,IF(G235&lt;BondCalculator!$B$12,G235+E236,BondCalculator!$B$12))</f>
        <v>9816.433869864442</v>
      </c>
      <c r="E236" s="86">
        <f>C236*BondCalculator!$B$5/12</f>
        <v>645.7233866409814</v>
      </c>
      <c r="F236" s="86">
        <f t="shared" si="30"/>
        <v>9170.710483223462</v>
      </c>
      <c r="G236" s="86">
        <f t="shared" si="31"/>
        <v>66426.17380645241</v>
      </c>
      <c r="H236" s="98">
        <f t="shared" si="32"/>
        <v>0.06642617380645241</v>
      </c>
      <c r="J236" s="88">
        <f t="shared" si="33"/>
        <v>0</v>
      </c>
      <c r="K236" s="88">
        <f>IF(N235=0,0,IF(N235&lt;BondCalculator!$B$12+BondCalculator!$B$7,N235+L236,BondCalculator!$B$12+BondCalculator!$B$7))</f>
        <v>0</v>
      </c>
      <c r="L236" s="88">
        <f>J236*BondCalculator!$B$5/12</f>
        <v>0</v>
      </c>
      <c r="M236" s="88">
        <f t="shared" si="34"/>
        <v>0</v>
      </c>
      <c r="N236" s="88">
        <f t="shared" si="27"/>
        <v>0</v>
      </c>
      <c r="P236" s="88">
        <f t="shared" si="28"/>
        <v>645.7233866409814</v>
      </c>
      <c r="Q236" s="89">
        <f>-PV(BondCalculator!$B$9/12,B236,0,1,0)</f>
        <v>0.31282943531401564</v>
      </c>
      <c r="S236" s="90">
        <f t="shared" si="29"/>
        <v>202.001282411952</v>
      </c>
    </row>
    <row r="237" spans="1:19" ht="15" customHeight="1">
      <c r="A237" s="85" t="s">
        <v>117</v>
      </c>
      <c r="B237" s="96">
        <v>234</v>
      </c>
      <c r="C237" s="86">
        <f t="shared" si="35"/>
        <v>66426.17380645241</v>
      </c>
      <c r="D237" s="86">
        <f>IF(G236=0,0,IF(G236&lt;BondCalculator!$B$12,G236+E237,BondCalculator!$B$12))</f>
        <v>9816.433869864442</v>
      </c>
      <c r="E237" s="86">
        <f>C237*BondCalculator!$B$5/12</f>
        <v>567.3902345967809</v>
      </c>
      <c r="F237" s="86">
        <f t="shared" si="30"/>
        <v>9249.04363526766</v>
      </c>
      <c r="G237" s="86">
        <f t="shared" si="31"/>
        <v>57177.13017118475</v>
      </c>
      <c r="H237" s="98">
        <f t="shared" si="32"/>
        <v>0.05717713017118475</v>
      </c>
      <c r="J237" s="88">
        <f t="shared" si="33"/>
        <v>0</v>
      </c>
      <c r="K237" s="88">
        <f>IF(N236=0,0,IF(N236&lt;BondCalculator!$B$12+BondCalculator!$B$7,N236+L237,BondCalculator!$B$12+BondCalculator!$B$7))</f>
        <v>0</v>
      </c>
      <c r="L237" s="88">
        <f>J237*BondCalculator!$B$5/12</f>
        <v>0</v>
      </c>
      <c r="M237" s="88">
        <f t="shared" si="34"/>
        <v>0</v>
      </c>
      <c r="N237" s="88">
        <f t="shared" si="27"/>
        <v>0</v>
      </c>
      <c r="P237" s="88">
        <f t="shared" si="28"/>
        <v>567.3902345967809</v>
      </c>
      <c r="Q237" s="89">
        <f>-PV(BondCalculator!$B$9/12,B237,0,1,0)</f>
        <v>0.31127306996419474</v>
      </c>
      <c r="S237" s="90">
        <f t="shared" si="29"/>
        <v>176.61330019064465</v>
      </c>
    </row>
    <row r="238" spans="1:19" ht="15" customHeight="1">
      <c r="A238" s="85" t="s">
        <v>117</v>
      </c>
      <c r="B238" s="96">
        <v>235</v>
      </c>
      <c r="C238" s="86">
        <f t="shared" si="35"/>
        <v>57177.13017118475</v>
      </c>
      <c r="D238" s="86">
        <f>IF(G237=0,0,IF(G237&lt;BondCalculator!$B$12,G237+E238,BondCalculator!$B$12))</f>
        <v>9816.433869864442</v>
      </c>
      <c r="E238" s="86">
        <f>C238*BondCalculator!$B$5/12</f>
        <v>488.3879868788697</v>
      </c>
      <c r="F238" s="86">
        <f t="shared" si="30"/>
        <v>9328.045882985572</v>
      </c>
      <c r="G238" s="86">
        <f t="shared" si="31"/>
        <v>47849.08428819918</v>
      </c>
      <c r="H238" s="98">
        <f t="shared" si="32"/>
        <v>0.04784908428819918</v>
      </c>
      <c r="J238" s="88">
        <f t="shared" si="33"/>
        <v>0</v>
      </c>
      <c r="K238" s="88">
        <f>IF(N237=0,0,IF(N237&lt;BondCalculator!$B$12+BondCalculator!$B$7,N237+L238,BondCalculator!$B$12+BondCalculator!$B$7))</f>
        <v>0</v>
      </c>
      <c r="L238" s="88">
        <f>J238*BondCalculator!$B$5/12</f>
        <v>0</v>
      </c>
      <c r="M238" s="88">
        <f t="shared" si="34"/>
        <v>0</v>
      </c>
      <c r="N238" s="88">
        <f t="shared" si="27"/>
        <v>0</v>
      </c>
      <c r="P238" s="88">
        <f t="shared" si="28"/>
        <v>488.3879868788697</v>
      </c>
      <c r="Q238" s="89">
        <f>-PV(BondCalculator!$B$9/12,B238,0,1,0)</f>
        <v>0.3097244477255669</v>
      </c>
      <c r="S238" s="90">
        <f t="shared" si="29"/>
        <v>151.26569951185934</v>
      </c>
    </row>
    <row r="239" spans="1:19" ht="15" customHeight="1">
      <c r="A239" s="85" t="s">
        <v>117</v>
      </c>
      <c r="B239" s="96">
        <v>236</v>
      </c>
      <c r="C239" s="86">
        <f t="shared" si="35"/>
        <v>47849.08428819918</v>
      </c>
      <c r="D239" s="86">
        <f>IF(G238=0,0,IF(G238&lt;BondCalculator!$B$12,G238+E239,BondCalculator!$B$12))</f>
        <v>9816.433869864442</v>
      </c>
      <c r="E239" s="86">
        <f>C239*BondCalculator!$B$5/12</f>
        <v>408.7109282950346</v>
      </c>
      <c r="F239" s="86">
        <f t="shared" si="30"/>
        <v>9407.722941569407</v>
      </c>
      <c r="G239" s="86">
        <f t="shared" si="31"/>
        <v>38441.36134662977</v>
      </c>
      <c r="H239" s="98">
        <f t="shared" si="32"/>
        <v>0.03844136134662977</v>
      </c>
      <c r="J239" s="88">
        <f t="shared" si="33"/>
        <v>0</v>
      </c>
      <c r="K239" s="88">
        <f>IF(N238=0,0,IF(N238&lt;BondCalculator!$B$12+BondCalculator!$B$7,N238+L239,BondCalculator!$B$12+BondCalculator!$B$7))</f>
        <v>0</v>
      </c>
      <c r="L239" s="88">
        <f>J239*BondCalculator!$B$5/12</f>
        <v>0</v>
      </c>
      <c r="M239" s="88">
        <f t="shared" si="34"/>
        <v>0</v>
      </c>
      <c r="N239" s="88">
        <f t="shared" si="27"/>
        <v>0</v>
      </c>
      <c r="P239" s="88">
        <f t="shared" si="28"/>
        <v>408.7109282950346</v>
      </c>
      <c r="Q239" s="89">
        <f>-PV(BondCalculator!$B$9/12,B239,0,1,0)</f>
        <v>0.308183530075191</v>
      </c>
      <c r="S239" s="90">
        <f t="shared" si="29"/>
        <v>125.95797666227203</v>
      </c>
    </row>
    <row r="240" spans="1:19" ht="15" customHeight="1">
      <c r="A240" s="85" t="s">
        <v>117</v>
      </c>
      <c r="B240" s="96">
        <v>237</v>
      </c>
      <c r="C240" s="86">
        <f t="shared" si="35"/>
        <v>38441.36134662977</v>
      </c>
      <c r="D240" s="86">
        <f>IF(G239=0,0,IF(G239&lt;BondCalculator!$B$12,G239+E240,BondCalculator!$B$12))</f>
        <v>9816.433869864442</v>
      </c>
      <c r="E240" s="86">
        <f>C240*BondCalculator!$B$5/12</f>
        <v>328.3532948357959</v>
      </c>
      <c r="F240" s="86">
        <f t="shared" si="30"/>
        <v>9488.080575028647</v>
      </c>
      <c r="G240" s="86">
        <f t="shared" si="31"/>
        <v>28953.280771601123</v>
      </c>
      <c r="H240" s="98">
        <f t="shared" si="32"/>
        <v>0.028953280771601125</v>
      </c>
      <c r="J240" s="88">
        <f t="shared" si="33"/>
        <v>0</v>
      </c>
      <c r="K240" s="88">
        <f>IF(N239=0,0,IF(N239&lt;BondCalculator!$B$12+BondCalculator!$B$7,N239+L240,BondCalculator!$B$12+BondCalculator!$B$7))</f>
        <v>0</v>
      </c>
      <c r="L240" s="88">
        <f>J240*BondCalculator!$B$5/12</f>
        <v>0</v>
      </c>
      <c r="M240" s="88">
        <f t="shared" si="34"/>
        <v>0</v>
      </c>
      <c r="N240" s="88">
        <f t="shared" si="27"/>
        <v>0</v>
      </c>
      <c r="P240" s="88">
        <f t="shared" si="28"/>
        <v>328.3532948357959</v>
      </c>
      <c r="Q240" s="89">
        <f>-PV(BondCalculator!$B$9/12,B240,0,1,0)</f>
        <v>0.3066502786817822</v>
      </c>
      <c r="S240" s="90">
        <f t="shared" si="29"/>
        <v>100.6896293674782</v>
      </c>
    </row>
    <row r="241" spans="1:19" ht="15" customHeight="1">
      <c r="A241" s="85" t="s">
        <v>117</v>
      </c>
      <c r="B241" s="96">
        <v>238</v>
      </c>
      <c r="C241" s="86">
        <f t="shared" si="35"/>
        <v>28953.280771601123</v>
      </c>
      <c r="D241" s="86">
        <f>IF(G240=0,0,IF(G240&lt;BondCalculator!$B$12,G240+E241,BondCalculator!$B$12))</f>
        <v>9816.433869864442</v>
      </c>
      <c r="E241" s="86">
        <f>C241*BondCalculator!$B$5/12</f>
        <v>247.30927325742627</v>
      </c>
      <c r="F241" s="86">
        <f t="shared" si="30"/>
        <v>9569.124596607016</v>
      </c>
      <c r="G241" s="86">
        <f t="shared" si="31"/>
        <v>19384.156174994107</v>
      </c>
      <c r="H241" s="98">
        <f t="shared" si="32"/>
        <v>0.019384156174994106</v>
      </c>
      <c r="J241" s="88">
        <f t="shared" si="33"/>
        <v>0</v>
      </c>
      <c r="K241" s="88">
        <f>IF(N240=0,0,IF(N240&lt;BondCalculator!$B$12+BondCalculator!$B$7,N240+L241,BondCalculator!$B$12+BondCalculator!$B$7))</f>
        <v>0</v>
      </c>
      <c r="L241" s="88">
        <f>J241*BondCalculator!$B$5/12</f>
        <v>0</v>
      </c>
      <c r="M241" s="88">
        <f t="shared" si="34"/>
        <v>0</v>
      </c>
      <c r="N241" s="88">
        <f t="shared" si="27"/>
        <v>0</v>
      </c>
      <c r="P241" s="88">
        <f t="shared" si="28"/>
        <v>247.30927325742627</v>
      </c>
      <c r="Q241" s="89">
        <f>-PV(BondCalculator!$B$9/12,B241,0,1,0)</f>
        <v>0.3051246554047584</v>
      </c>
      <c r="S241" s="90">
        <f t="shared" si="29"/>
        <v>75.46015678107342</v>
      </c>
    </row>
    <row r="242" spans="1:19" ht="15" customHeight="1">
      <c r="A242" s="85" t="s">
        <v>117</v>
      </c>
      <c r="B242" s="96">
        <v>239</v>
      </c>
      <c r="C242" s="86">
        <f t="shared" si="35"/>
        <v>19384.156174994107</v>
      </c>
      <c r="D242" s="86">
        <f>IF(G241=0,0,IF(G241&lt;BondCalculator!$B$12,G241+E242,BondCalculator!$B$12))</f>
        <v>9816.433869864442</v>
      </c>
      <c r="E242" s="86">
        <f>C242*BondCalculator!$B$5/12</f>
        <v>165.57300066140797</v>
      </c>
      <c r="F242" s="86">
        <f t="shared" si="30"/>
        <v>9650.860869203034</v>
      </c>
      <c r="G242" s="86">
        <f t="shared" si="31"/>
        <v>9733.295305791073</v>
      </c>
      <c r="H242" s="98">
        <f t="shared" si="32"/>
        <v>0.009733295305791072</v>
      </c>
      <c r="J242" s="88">
        <f t="shared" si="33"/>
        <v>0</v>
      </c>
      <c r="K242" s="88">
        <f>IF(N241=0,0,IF(N241&lt;BondCalculator!$B$12+BondCalculator!$B$7,N241+L242,BondCalculator!$B$12+BondCalculator!$B$7))</f>
        <v>0</v>
      </c>
      <c r="L242" s="88">
        <f>J242*BondCalculator!$B$5/12</f>
        <v>0</v>
      </c>
      <c r="M242" s="88">
        <f t="shared" si="34"/>
        <v>0</v>
      </c>
      <c r="N242" s="88">
        <f t="shared" si="27"/>
        <v>0</v>
      </c>
      <c r="P242" s="88">
        <f t="shared" si="28"/>
        <v>165.57300066140797</v>
      </c>
      <c r="Q242" s="89">
        <f>-PV(BondCalculator!$B$9/12,B242,0,1,0)</f>
        <v>0.30360662229329205</v>
      </c>
      <c r="S242" s="90">
        <f t="shared" si="29"/>
        <v>50.26905947377509</v>
      </c>
    </row>
    <row r="243" spans="1:19" ht="15" customHeight="1">
      <c r="A243" s="85" t="s">
        <v>117</v>
      </c>
      <c r="B243" s="96">
        <v>240</v>
      </c>
      <c r="C243" s="86">
        <f t="shared" si="35"/>
        <v>9733.295305791073</v>
      </c>
      <c r="D243" s="86">
        <f>IF(G242=0,0,IF(G242&lt;BondCalculator!$B$12,G242+E243,BondCalculator!$B$12))</f>
        <v>9816.433869861372</v>
      </c>
      <c r="E243" s="86">
        <f>C243*BondCalculator!$B$5/12</f>
        <v>83.13856407029874</v>
      </c>
      <c r="F243" s="86">
        <f t="shared" si="30"/>
        <v>9733.295305791073</v>
      </c>
      <c r="G243" s="86">
        <f t="shared" si="31"/>
        <v>0</v>
      </c>
      <c r="H243" s="98">
        <f t="shared" si="32"/>
        <v>0</v>
      </c>
      <c r="J243" s="88">
        <f t="shared" si="33"/>
        <v>0</v>
      </c>
      <c r="K243" s="88">
        <f>IF(N242=0,0,IF(N242&lt;BondCalculator!$B$12+BondCalculator!$B$7,N242+L243,BondCalculator!$B$12+BondCalculator!$B$7))</f>
        <v>0</v>
      </c>
      <c r="L243" s="88">
        <f>J243*BondCalculator!$B$5/12</f>
        <v>0</v>
      </c>
      <c r="M243" s="88">
        <f t="shared" si="34"/>
        <v>0</v>
      </c>
      <c r="N243" s="88">
        <f t="shared" si="27"/>
        <v>0</v>
      </c>
      <c r="P243" s="88">
        <f t="shared" si="28"/>
        <v>83.13856407029874</v>
      </c>
      <c r="Q243" s="89">
        <f>-PV(BondCalculator!$B$9/12,B243,0,1,0)</f>
        <v>0.30209614158536524</v>
      </c>
      <c r="S243" s="90">
        <f t="shared" si="29"/>
        <v>25.115839422584926</v>
      </c>
    </row>
    <row r="244" spans="1:19" ht="15" customHeight="1">
      <c r="A244" s="85" t="s">
        <v>119</v>
      </c>
      <c r="B244" s="96">
        <v>241</v>
      </c>
      <c r="C244" s="86">
        <f t="shared" si="35"/>
        <v>0</v>
      </c>
      <c r="D244" s="86">
        <f>IF(G243=0,0,IF(G243&lt;BondCalculator!$B$12,G243+E244,BondCalculator!$B$12))</f>
        <v>0</v>
      </c>
      <c r="E244" s="86">
        <f>C244*BondCalculator!$B$5/12</f>
        <v>0</v>
      </c>
      <c r="F244" s="86">
        <f aca="true" t="shared" si="36" ref="F244:F307">D244-E244</f>
        <v>0</v>
      </c>
      <c r="G244" s="86">
        <f t="shared" si="31"/>
        <v>0</v>
      </c>
      <c r="H244" s="98">
        <f t="shared" si="32"/>
        <v>0</v>
      </c>
      <c r="J244" s="88">
        <f aca="true" t="shared" si="37" ref="J244:J307">IF(ROUND(N243,0)&gt;0,N243,0)</f>
        <v>0</v>
      </c>
      <c r="K244" s="88">
        <f>IF(N243=0,0,IF(N243&lt;BondCalculator!$B$12+BondCalculator!$B$7,N243+L244,BondCalculator!$B$12+BondCalculator!$B$7))</f>
        <v>0</v>
      </c>
      <c r="L244" s="88">
        <f>J244*BondCalculator!$B$5/12</f>
        <v>0</v>
      </c>
      <c r="M244" s="88">
        <f aca="true" t="shared" si="38" ref="M244:M307">IF(K244-L244&gt;N243,N243,K244-L244)</f>
        <v>0</v>
      </c>
      <c r="N244" s="88">
        <f aca="true" t="shared" si="39" ref="N244:N307">J244-M244</f>
        <v>0</v>
      </c>
      <c r="P244" s="88">
        <f aca="true" t="shared" si="40" ref="P244:P307">E244-L244</f>
        <v>0</v>
      </c>
      <c r="Q244" s="89">
        <f>-PV(BondCalculator!$B$9/12,B244,0,1,0)</f>
        <v>0.30059317570683103</v>
      </c>
      <c r="S244" s="90">
        <f t="shared" si="29"/>
        <v>0</v>
      </c>
    </row>
    <row r="245" spans="1:19" ht="15" customHeight="1">
      <c r="A245" s="85" t="s">
        <v>119</v>
      </c>
      <c r="B245" s="96">
        <v>242</v>
      </c>
      <c r="C245" s="86">
        <f t="shared" si="35"/>
        <v>0</v>
      </c>
      <c r="D245" s="86">
        <f>IF(G244=0,0,IF(G244&lt;BondCalculator!$B$12,G244+E245,BondCalculator!$B$12))</f>
        <v>0</v>
      </c>
      <c r="E245" s="86">
        <f>C245*BondCalculator!$B$5/12</f>
        <v>0</v>
      </c>
      <c r="F245" s="86">
        <f t="shared" si="36"/>
        <v>0</v>
      </c>
      <c r="G245" s="86">
        <f t="shared" si="31"/>
        <v>0</v>
      </c>
      <c r="H245" s="98">
        <f t="shared" si="32"/>
        <v>0</v>
      </c>
      <c r="J245" s="88">
        <f t="shared" si="37"/>
        <v>0</v>
      </c>
      <c r="K245" s="88">
        <f>IF(N244=0,0,IF(N244&lt;BondCalculator!$B$12+BondCalculator!$B$7,N244+L245,BondCalculator!$B$12+BondCalculator!$B$7))</f>
        <v>0</v>
      </c>
      <c r="L245" s="88">
        <f>J245*BondCalculator!$B$5/12</f>
        <v>0</v>
      </c>
      <c r="M245" s="88">
        <f t="shared" si="38"/>
        <v>0</v>
      </c>
      <c r="N245" s="88">
        <f t="shared" si="39"/>
        <v>0</v>
      </c>
      <c r="P245" s="88">
        <f t="shared" si="40"/>
        <v>0</v>
      </c>
      <c r="Q245" s="89">
        <f>-PV(BondCalculator!$B$9/12,B245,0,1,0)</f>
        <v>0.2990976872704788</v>
      </c>
      <c r="S245" s="90">
        <f t="shared" si="29"/>
        <v>0</v>
      </c>
    </row>
    <row r="246" spans="1:19" ht="15" customHeight="1">
      <c r="A246" s="85" t="s">
        <v>119</v>
      </c>
      <c r="B246" s="96">
        <v>243</v>
      </c>
      <c r="C246" s="86">
        <f t="shared" si="35"/>
        <v>0</v>
      </c>
      <c r="D246" s="86">
        <f>IF(G245=0,0,IF(G245&lt;BondCalculator!$B$12,G245+E246,BondCalculator!$B$12))</f>
        <v>0</v>
      </c>
      <c r="E246" s="86">
        <f>C246*BondCalculator!$B$5/12</f>
        <v>0</v>
      </c>
      <c r="F246" s="86">
        <f t="shared" si="36"/>
        <v>0</v>
      </c>
      <c r="G246" s="86">
        <f t="shared" si="31"/>
        <v>0</v>
      </c>
      <c r="H246" s="98">
        <f t="shared" si="32"/>
        <v>0</v>
      </c>
      <c r="J246" s="88">
        <f t="shared" si="37"/>
        <v>0</v>
      </c>
      <c r="K246" s="88">
        <f>IF(N245=0,0,IF(N245&lt;BondCalculator!$B$12+BondCalculator!$B$7,N245+L246,BondCalculator!$B$12+BondCalculator!$B$7))</f>
        <v>0</v>
      </c>
      <c r="L246" s="88">
        <f>J246*BondCalculator!$B$5/12</f>
        <v>0</v>
      </c>
      <c r="M246" s="88">
        <f t="shared" si="38"/>
        <v>0</v>
      </c>
      <c r="N246" s="88">
        <f t="shared" si="39"/>
        <v>0</v>
      </c>
      <c r="P246" s="88">
        <f t="shared" si="40"/>
        <v>0</v>
      </c>
      <c r="Q246" s="89">
        <f>-PV(BondCalculator!$B$9/12,B246,0,1,0)</f>
        <v>0.29760963907510324</v>
      </c>
      <c r="S246" s="90">
        <f t="shared" si="29"/>
        <v>0</v>
      </c>
    </row>
    <row r="247" spans="1:19" ht="15" customHeight="1">
      <c r="A247" s="85" t="s">
        <v>119</v>
      </c>
      <c r="B247" s="96">
        <v>244</v>
      </c>
      <c r="C247" s="86">
        <f t="shared" si="35"/>
        <v>0</v>
      </c>
      <c r="D247" s="86">
        <f>IF(G246=0,0,IF(G246&lt;BondCalculator!$B$12,G246+E247,BondCalculator!$B$12))</f>
        <v>0</v>
      </c>
      <c r="E247" s="86">
        <f>C247*BondCalculator!$B$5/12</f>
        <v>0</v>
      </c>
      <c r="F247" s="86">
        <f t="shared" si="36"/>
        <v>0</v>
      </c>
      <c r="G247" s="86">
        <f t="shared" si="31"/>
        <v>0</v>
      </c>
      <c r="H247" s="98">
        <f t="shared" si="32"/>
        <v>0</v>
      </c>
      <c r="J247" s="88">
        <f t="shared" si="37"/>
        <v>0</v>
      </c>
      <c r="K247" s="88">
        <f>IF(N246=0,0,IF(N246&lt;BondCalculator!$B$12+BondCalculator!$B$7,N246+L247,BondCalculator!$B$12+BondCalculator!$B$7))</f>
        <v>0</v>
      </c>
      <c r="L247" s="88">
        <f>J247*BondCalculator!$B$5/12</f>
        <v>0</v>
      </c>
      <c r="M247" s="88">
        <f t="shared" si="38"/>
        <v>0</v>
      </c>
      <c r="N247" s="88">
        <f t="shared" si="39"/>
        <v>0</v>
      </c>
      <c r="P247" s="88">
        <f t="shared" si="40"/>
        <v>0</v>
      </c>
      <c r="Q247" s="89">
        <f>-PV(BondCalculator!$B$9/12,B247,0,1,0)</f>
        <v>0.29612899410458043</v>
      </c>
      <c r="S247" s="90">
        <f t="shared" si="29"/>
        <v>0</v>
      </c>
    </row>
    <row r="248" spans="1:19" ht="15" customHeight="1">
      <c r="A248" s="85" t="s">
        <v>119</v>
      </c>
      <c r="B248" s="96">
        <v>245</v>
      </c>
      <c r="C248" s="86">
        <f t="shared" si="35"/>
        <v>0</v>
      </c>
      <c r="D248" s="86">
        <f>IF(G247=0,0,IF(G247&lt;BondCalculator!$B$12,G247+E248,BondCalculator!$B$12))</f>
        <v>0</v>
      </c>
      <c r="E248" s="86">
        <f>C248*BondCalculator!$B$5/12</f>
        <v>0</v>
      </c>
      <c r="F248" s="86">
        <f t="shared" si="36"/>
        <v>0</v>
      </c>
      <c r="G248" s="86">
        <f t="shared" si="31"/>
        <v>0</v>
      </c>
      <c r="H248" s="98">
        <f t="shared" si="32"/>
        <v>0</v>
      </c>
      <c r="J248" s="88">
        <f t="shared" si="37"/>
        <v>0</v>
      </c>
      <c r="K248" s="88">
        <f>IF(N247=0,0,IF(N247&lt;BondCalculator!$B$12+BondCalculator!$B$7,N247+L248,BondCalculator!$B$12+BondCalculator!$B$7))</f>
        <v>0</v>
      </c>
      <c r="L248" s="88">
        <f>J248*BondCalculator!$B$5/12</f>
        <v>0</v>
      </c>
      <c r="M248" s="88">
        <f t="shared" si="38"/>
        <v>0</v>
      </c>
      <c r="N248" s="88">
        <f t="shared" si="39"/>
        <v>0</v>
      </c>
      <c r="P248" s="88">
        <f t="shared" si="40"/>
        <v>0</v>
      </c>
      <c r="Q248" s="89">
        <f>-PV(BondCalculator!$B$9/12,B248,0,1,0)</f>
        <v>0.29465571552694575</v>
      </c>
      <c r="S248" s="90">
        <f t="shared" si="29"/>
        <v>0</v>
      </c>
    </row>
    <row r="249" spans="1:19" ht="15" customHeight="1">
      <c r="A249" s="85" t="s">
        <v>119</v>
      </c>
      <c r="B249" s="96">
        <v>246</v>
      </c>
      <c r="C249" s="86">
        <f t="shared" si="35"/>
        <v>0</v>
      </c>
      <c r="D249" s="86">
        <f>IF(G248=0,0,IF(G248&lt;BondCalculator!$B$12,G248+E249,BondCalculator!$B$12))</f>
        <v>0</v>
      </c>
      <c r="E249" s="86">
        <f>C249*BondCalculator!$B$5/12</f>
        <v>0</v>
      </c>
      <c r="F249" s="86">
        <f t="shared" si="36"/>
        <v>0</v>
      </c>
      <c r="G249" s="86">
        <f t="shared" si="31"/>
        <v>0</v>
      </c>
      <c r="H249" s="98">
        <f t="shared" si="32"/>
        <v>0</v>
      </c>
      <c r="J249" s="88">
        <f t="shared" si="37"/>
        <v>0</v>
      </c>
      <c r="K249" s="88">
        <f>IF(N248=0,0,IF(N248&lt;BondCalculator!$B$12+BondCalculator!$B$7,N248+L249,BondCalculator!$B$12+BondCalculator!$B$7))</f>
        <v>0</v>
      </c>
      <c r="L249" s="88">
        <f>J249*BondCalculator!$B$5/12</f>
        <v>0</v>
      </c>
      <c r="M249" s="88">
        <f t="shared" si="38"/>
        <v>0</v>
      </c>
      <c r="N249" s="88">
        <f t="shared" si="39"/>
        <v>0</v>
      </c>
      <c r="P249" s="88">
        <f t="shared" si="40"/>
        <v>0</v>
      </c>
      <c r="Q249" s="89">
        <f>-PV(BondCalculator!$B$9/12,B249,0,1,0)</f>
        <v>0.29318976669347846</v>
      </c>
      <c r="S249" s="90">
        <f t="shared" si="29"/>
        <v>0</v>
      </c>
    </row>
    <row r="250" spans="1:19" ht="15" customHeight="1">
      <c r="A250" s="85" t="s">
        <v>119</v>
      </c>
      <c r="B250" s="96">
        <v>247</v>
      </c>
      <c r="C250" s="86">
        <f t="shared" si="35"/>
        <v>0</v>
      </c>
      <c r="D250" s="86">
        <f>IF(G249=0,0,IF(G249&lt;BondCalculator!$B$12,G249+E250,BondCalculator!$B$12))</f>
        <v>0</v>
      </c>
      <c r="E250" s="86">
        <f>C250*BondCalculator!$B$5/12</f>
        <v>0</v>
      </c>
      <c r="F250" s="86">
        <f t="shared" si="36"/>
        <v>0</v>
      </c>
      <c r="G250" s="86">
        <f t="shared" si="31"/>
        <v>0</v>
      </c>
      <c r="H250" s="98">
        <f t="shared" si="32"/>
        <v>0</v>
      </c>
      <c r="J250" s="88">
        <f t="shared" si="37"/>
        <v>0</v>
      </c>
      <c r="K250" s="88">
        <f>IF(N249=0,0,IF(N249&lt;BondCalculator!$B$12+BondCalculator!$B$7,N249+L250,BondCalculator!$B$12+BondCalculator!$B$7))</f>
        <v>0</v>
      </c>
      <c r="L250" s="88">
        <f>J250*BondCalculator!$B$5/12</f>
        <v>0</v>
      </c>
      <c r="M250" s="88">
        <f t="shared" si="38"/>
        <v>0</v>
      </c>
      <c r="N250" s="88">
        <f t="shared" si="39"/>
        <v>0</v>
      </c>
      <c r="P250" s="88">
        <f t="shared" si="40"/>
        <v>0</v>
      </c>
      <c r="Q250" s="89">
        <f>-PV(BondCalculator!$B$9/12,B250,0,1,0)</f>
        <v>0.2917311111377895</v>
      </c>
      <c r="S250" s="90">
        <f t="shared" si="29"/>
        <v>0</v>
      </c>
    </row>
    <row r="251" spans="1:19" ht="15" customHeight="1">
      <c r="A251" s="85" t="s">
        <v>119</v>
      </c>
      <c r="B251" s="96">
        <v>248</v>
      </c>
      <c r="C251" s="86">
        <f t="shared" si="35"/>
        <v>0</v>
      </c>
      <c r="D251" s="86">
        <f>IF(G250=0,0,IF(G250&lt;BondCalculator!$B$12,G250+E251,BondCalculator!$B$12))</f>
        <v>0</v>
      </c>
      <c r="E251" s="86">
        <f>C251*BondCalculator!$B$5/12</f>
        <v>0</v>
      </c>
      <c r="F251" s="86">
        <f t="shared" si="36"/>
        <v>0</v>
      </c>
      <c r="G251" s="86">
        <f t="shared" si="31"/>
        <v>0</v>
      </c>
      <c r="H251" s="98">
        <f t="shared" si="32"/>
        <v>0</v>
      </c>
      <c r="J251" s="88">
        <f t="shared" si="37"/>
        <v>0</v>
      </c>
      <c r="K251" s="88">
        <f>IF(N250=0,0,IF(N250&lt;BondCalculator!$B$12+BondCalculator!$B$7,N250+L251,BondCalculator!$B$12+BondCalculator!$B$7))</f>
        <v>0</v>
      </c>
      <c r="L251" s="88">
        <f>J251*BondCalculator!$B$5/12</f>
        <v>0</v>
      </c>
      <c r="M251" s="88">
        <f t="shared" si="38"/>
        <v>0</v>
      </c>
      <c r="N251" s="88">
        <f t="shared" si="39"/>
        <v>0</v>
      </c>
      <c r="P251" s="88">
        <f t="shared" si="40"/>
        <v>0</v>
      </c>
      <c r="Q251" s="89">
        <f>-PV(BondCalculator!$B$9/12,B251,0,1,0)</f>
        <v>0.2902797125749149</v>
      </c>
      <c r="S251" s="90">
        <f t="shared" si="29"/>
        <v>0</v>
      </c>
    </row>
    <row r="252" spans="1:19" ht="15" customHeight="1">
      <c r="A252" s="85" t="s">
        <v>119</v>
      </c>
      <c r="B252" s="96">
        <v>249</v>
      </c>
      <c r="C252" s="86">
        <f t="shared" si="35"/>
        <v>0</v>
      </c>
      <c r="D252" s="86">
        <f>IF(G251=0,0,IF(G251&lt;BondCalculator!$B$12,G251+E252,BondCalculator!$B$12))</f>
        <v>0</v>
      </c>
      <c r="E252" s="86">
        <f>C252*BondCalculator!$B$5/12</f>
        <v>0</v>
      </c>
      <c r="F252" s="86">
        <f t="shared" si="36"/>
        <v>0</v>
      </c>
      <c r="G252" s="86">
        <f t="shared" si="31"/>
        <v>0</v>
      </c>
      <c r="H252" s="98">
        <f t="shared" si="32"/>
        <v>0</v>
      </c>
      <c r="J252" s="88">
        <f t="shared" si="37"/>
        <v>0</v>
      </c>
      <c r="K252" s="88">
        <f>IF(N251=0,0,IF(N251&lt;BondCalculator!$B$12+BondCalculator!$B$7,N251+L252,BondCalculator!$B$12+BondCalculator!$B$7))</f>
        <v>0</v>
      </c>
      <c r="L252" s="88">
        <f>J252*BondCalculator!$B$5/12</f>
        <v>0</v>
      </c>
      <c r="M252" s="88">
        <f t="shared" si="38"/>
        <v>0</v>
      </c>
      <c r="N252" s="88">
        <f t="shared" si="39"/>
        <v>0</v>
      </c>
      <c r="P252" s="88">
        <f t="shared" si="40"/>
        <v>0</v>
      </c>
      <c r="Q252" s="89">
        <f>-PV(BondCalculator!$B$9/12,B252,0,1,0)</f>
        <v>0.2888355349004129</v>
      </c>
      <c r="S252" s="90">
        <f t="shared" si="29"/>
        <v>0</v>
      </c>
    </row>
    <row r="253" spans="1:19" ht="15" customHeight="1">
      <c r="A253" s="85" t="s">
        <v>119</v>
      </c>
      <c r="B253" s="96">
        <v>250</v>
      </c>
      <c r="C253" s="86">
        <f t="shared" si="35"/>
        <v>0</v>
      </c>
      <c r="D253" s="86">
        <f>IF(G252=0,0,IF(G252&lt;BondCalculator!$B$12,G252+E253,BondCalculator!$B$12))</f>
        <v>0</v>
      </c>
      <c r="E253" s="86">
        <f>C253*BondCalculator!$B$5/12</f>
        <v>0</v>
      </c>
      <c r="F253" s="86">
        <f t="shared" si="36"/>
        <v>0</v>
      </c>
      <c r="G253" s="86">
        <f t="shared" si="31"/>
        <v>0</v>
      </c>
      <c r="H253" s="98">
        <f t="shared" si="32"/>
        <v>0</v>
      </c>
      <c r="J253" s="88">
        <f t="shared" si="37"/>
        <v>0</v>
      </c>
      <c r="K253" s="88">
        <f>IF(N252=0,0,IF(N252&lt;BondCalculator!$B$12+BondCalculator!$B$7,N252+L253,BondCalculator!$B$12+BondCalculator!$B$7))</f>
        <v>0</v>
      </c>
      <c r="L253" s="88">
        <f>J253*BondCalculator!$B$5/12</f>
        <v>0</v>
      </c>
      <c r="M253" s="88">
        <f t="shared" si="38"/>
        <v>0</v>
      </c>
      <c r="N253" s="88">
        <f t="shared" si="39"/>
        <v>0</v>
      </c>
      <c r="P253" s="88">
        <f t="shared" si="40"/>
        <v>0</v>
      </c>
      <c r="Q253" s="89">
        <f>-PV(BondCalculator!$B$9/12,B253,0,1,0)</f>
        <v>0.2873985421894656</v>
      </c>
      <c r="S253" s="90">
        <f t="shared" si="29"/>
        <v>0</v>
      </c>
    </row>
    <row r="254" spans="1:19" ht="15" customHeight="1">
      <c r="A254" s="85" t="s">
        <v>119</v>
      </c>
      <c r="B254" s="96">
        <v>251</v>
      </c>
      <c r="C254" s="86">
        <f t="shared" si="35"/>
        <v>0</v>
      </c>
      <c r="D254" s="86">
        <f>IF(G253=0,0,IF(G253&lt;BondCalculator!$B$12,G253+E254,BondCalculator!$B$12))</f>
        <v>0</v>
      </c>
      <c r="E254" s="86">
        <f>C254*BondCalculator!$B$5/12</f>
        <v>0</v>
      </c>
      <c r="F254" s="86">
        <f t="shared" si="36"/>
        <v>0</v>
      </c>
      <c r="G254" s="86">
        <f t="shared" si="31"/>
        <v>0</v>
      </c>
      <c r="H254" s="98">
        <f t="shared" si="32"/>
        <v>0</v>
      </c>
      <c r="J254" s="88">
        <f t="shared" si="37"/>
        <v>0</v>
      </c>
      <c r="K254" s="88">
        <f>IF(N253=0,0,IF(N253&lt;BondCalculator!$B$12+BondCalculator!$B$7,N253+L254,BondCalculator!$B$12+BondCalculator!$B$7))</f>
        <v>0</v>
      </c>
      <c r="L254" s="88">
        <f>J254*BondCalculator!$B$5/12</f>
        <v>0</v>
      </c>
      <c r="M254" s="88">
        <f t="shared" si="38"/>
        <v>0</v>
      </c>
      <c r="N254" s="88">
        <f t="shared" si="39"/>
        <v>0</v>
      </c>
      <c r="P254" s="88">
        <f t="shared" si="40"/>
        <v>0</v>
      </c>
      <c r="Q254" s="89">
        <f>-PV(BondCalculator!$B$9/12,B254,0,1,0)</f>
        <v>0.2859686986959858</v>
      </c>
      <c r="S254" s="90">
        <f t="shared" si="29"/>
        <v>0</v>
      </c>
    </row>
    <row r="255" spans="1:19" ht="15" customHeight="1">
      <c r="A255" s="85" t="s">
        <v>119</v>
      </c>
      <c r="B255" s="96">
        <v>252</v>
      </c>
      <c r="C255" s="86">
        <f t="shared" si="35"/>
        <v>0</v>
      </c>
      <c r="D255" s="86">
        <f>IF(G254=0,0,IF(G254&lt;BondCalculator!$B$12,G254+E255,BondCalculator!$B$12))</f>
        <v>0</v>
      </c>
      <c r="E255" s="86">
        <f>C255*BondCalculator!$B$5/12</f>
        <v>0</v>
      </c>
      <c r="F255" s="86">
        <f t="shared" si="36"/>
        <v>0</v>
      </c>
      <c r="G255" s="86">
        <f t="shared" si="31"/>
        <v>0</v>
      </c>
      <c r="H255" s="98">
        <f t="shared" si="32"/>
        <v>0</v>
      </c>
      <c r="J255" s="88">
        <f t="shared" si="37"/>
        <v>0</v>
      </c>
      <c r="K255" s="88">
        <f>IF(N254=0,0,IF(N254&lt;BondCalculator!$B$12+BondCalculator!$B$7,N254+L255,BondCalculator!$B$12+BondCalculator!$B$7))</f>
        <v>0</v>
      </c>
      <c r="L255" s="88">
        <f>J255*BondCalculator!$B$5/12</f>
        <v>0</v>
      </c>
      <c r="M255" s="88">
        <f t="shared" si="38"/>
        <v>0</v>
      </c>
      <c r="N255" s="88">
        <f t="shared" si="39"/>
        <v>0</v>
      </c>
      <c r="P255" s="88">
        <f t="shared" si="40"/>
        <v>0</v>
      </c>
      <c r="Q255" s="89">
        <f>-PV(BondCalculator!$B$9/12,B255,0,1,0)</f>
        <v>0.28454596885172717</v>
      </c>
      <c r="S255" s="90">
        <f t="shared" si="29"/>
        <v>0</v>
      </c>
    </row>
    <row r="256" spans="1:19" ht="15" customHeight="1">
      <c r="A256" s="85" t="s">
        <v>120</v>
      </c>
      <c r="B256" s="96">
        <v>253</v>
      </c>
      <c r="C256" s="86">
        <f t="shared" si="35"/>
        <v>0</v>
      </c>
      <c r="D256" s="86">
        <f>IF(G255=0,0,IF(G255&lt;BondCalculator!$B$12,G255+E256,BondCalculator!$B$12))</f>
        <v>0</v>
      </c>
      <c r="E256" s="86">
        <f>C256*BondCalculator!$B$5/12</f>
        <v>0</v>
      </c>
      <c r="F256" s="86">
        <f t="shared" si="36"/>
        <v>0</v>
      </c>
      <c r="G256" s="86">
        <f t="shared" si="31"/>
        <v>0</v>
      </c>
      <c r="H256" s="98">
        <f t="shared" si="32"/>
        <v>0</v>
      </c>
      <c r="J256" s="88">
        <f t="shared" si="37"/>
        <v>0</v>
      </c>
      <c r="K256" s="88">
        <f>IF(N255=0,0,IF(N255&lt;BondCalculator!$B$12+BondCalculator!$B$7,N255+L256,BondCalculator!$B$12+BondCalculator!$B$7))</f>
        <v>0</v>
      </c>
      <c r="L256" s="88">
        <f>J256*BondCalculator!$B$5/12</f>
        <v>0</v>
      </c>
      <c r="M256" s="88">
        <f t="shared" si="38"/>
        <v>0</v>
      </c>
      <c r="N256" s="88">
        <f t="shared" si="39"/>
        <v>0</v>
      </c>
      <c r="P256" s="88">
        <f t="shared" si="40"/>
        <v>0</v>
      </c>
      <c r="Q256" s="89">
        <f>-PV(BondCalculator!$B$9/12,B256,0,1,0)</f>
        <v>0.28313031726540017</v>
      </c>
      <c r="S256" s="90">
        <f t="shared" si="29"/>
        <v>0</v>
      </c>
    </row>
    <row r="257" spans="1:19" ht="15" customHeight="1">
      <c r="A257" s="85" t="s">
        <v>120</v>
      </c>
      <c r="B257" s="96">
        <v>254</v>
      </c>
      <c r="C257" s="86">
        <f t="shared" si="35"/>
        <v>0</v>
      </c>
      <c r="D257" s="86">
        <f>IF(G256=0,0,IF(G256&lt;BondCalculator!$B$12,G256+E257,BondCalculator!$B$12))</f>
        <v>0</v>
      </c>
      <c r="E257" s="86">
        <f>C257*BondCalculator!$B$5/12</f>
        <v>0</v>
      </c>
      <c r="F257" s="86">
        <f t="shared" si="36"/>
        <v>0</v>
      </c>
      <c r="G257" s="86">
        <f t="shared" si="31"/>
        <v>0</v>
      </c>
      <c r="H257" s="98">
        <f t="shared" si="32"/>
        <v>0</v>
      </c>
      <c r="J257" s="88">
        <f t="shared" si="37"/>
        <v>0</v>
      </c>
      <c r="K257" s="88">
        <f>IF(N256=0,0,IF(N256&lt;BondCalculator!$B$12+BondCalculator!$B$7,N256+L257,BondCalculator!$B$12+BondCalculator!$B$7))</f>
        <v>0</v>
      </c>
      <c r="L257" s="88">
        <f>J257*BondCalculator!$B$5/12</f>
        <v>0</v>
      </c>
      <c r="M257" s="88">
        <f t="shared" si="38"/>
        <v>0</v>
      </c>
      <c r="N257" s="88">
        <f t="shared" si="39"/>
        <v>0</v>
      </c>
      <c r="P257" s="88">
        <f t="shared" si="40"/>
        <v>0</v>
      </c>
      <c r="Q257" s="89">
        <f>-PV(BondCalculator!$B$9/12,B257,0,1,0)</f>
        <v>0.28172170872179125</v>
      </c>
      <c r="S257" s="90">
        <f t="shared" si="29"/>
        <v>0</v>
      </c>
    </row>
    <row r="258" spans="1:19" ht="15" customHeight="1">
      <c r="A258" s="85" t="s">
        <v>120</v>
      </c>
      <c r="B258" s="96">
        <v>255</v>
      </c>
      <c r="C258" s="86">
        <f t="shared" si="35"/>
        <v>0</v>
      </c>
      <c r="D258" s="86">
        <f>IF(G257=0,0,IF(G257&lt;BondCalculator!$B$12,G257+E258,BondCalculator!$B$12))</f>
        <v>0</v>
      </c>
      <c r="E258" s="86">
        <f>C258*BondCalculator!$B$5/12</f>
        <v>0</v>
      </c>
      <c r="F258" s="86">
        <f t="shared" si="36"/>
        <v>0</v>
      </c>
      <c r="G258" s="86">
        <f t="shared" si="31"/>
        <v>0</v>
      </c>
      <c r="H258" s="98">
        <f t="shared" si="32"/>
        <v>0</v>
      </c>
      <c r="J258" s="88">
        <f t="shared" si="37"/>
        <v>0</v>
      </c>
      <c r="K258" s="88">
        <f>IF(N257=0,0,IF(N257&lt;BondCalculator!$B$12+BondCalculator!$B$7,N257+L258,BondCalculator!$B$12+BondCalculator!$B$7))</f>
        <v>0</v>
      </c>
      <c r="L258" s="88">
        <f>J258*BondCalculator!$B$5/12</f>
        <v>0</v>
      </c>
      <c r="M258" s="88">
        <f t="shared" si="38"/>
        <v>0</v>
      </c>
      <c r="N258" s="88">
        <f t="shared" si="39"/>
        <v>0</v>
      </c>
      <c r="P258" s="88">
        <f t="shared" si="40"/>
        <v>0</v>
      </c>
      <c r="Q258" s="89">
        <f>-PV(BondCalculator!$B$9/12,B258,0,1,0)</f>
        <v>0.28032010818088693</v>
      </c>
      <c r="S258" s="90">
        <f t="shared" si="29"/>
        <v>0</v>
      </c>
    </row>
    <row r="259" spans="1:19" ht="15" customHeight="1">
      <c r="A259" s="85" t="s">
        <v>120</v>
      </c>
      <c r="B259" s="96">
        <v>256</v>
      </c>
      <c r="C259" s="86">
        <f t="shared" si="35"/>
        <v>0</v>
      </c>
      <c r="D259" s="86">
        <f>IF(G258=0,0,IF(G258&lt;BondCalculator!$B$12,G258+E259,BondCalculator!$B$12))</f>
        <v>0</v>
      </c>
      <c r="E259" s="86">
        <f>C259*BondCalculator!$B$5/12</f>
        <v>0</v>
      </c>
      <c r="F259" s="86">
        <f t="shared" si="36"/>
        <v>0</v>
      </c>
      <c r="G259" s="86">
        <f t="shared" si="31"/>
        <v>0</v>
      </c>
      <c r="H259" s="98">
        <f t="shared" si="32"/>
        <v>0</v>
      </c>
      <c r="J259" s="88">
        <f t="shared" si="37"/>
        <v>0</v>
      </c>
      <c r="K259" s="88">
        <f>IF(N258=0,0,IF(N258&lt;BondCalculator!$B$12+BondCalculator!$B$7,N258+L259,BondCalculator!$B$12+BondCalculator!$B$7))</f>
        <v>0</v>
      </c>
      <c r="L259" s="88">
        <f>J259*BondCalculator!$B$5/12</f>
        <v>0</v>
      </c>
      <c r="M259" s="88">
        <f t="shared" si="38"/>
        <v>0</v>
      </c>
      <c r="N259" s="88">
        <f t="shared" si="39"/>
        <v>0</v>
      </c>
      <c r="P259" s="88">
        <f t="shared" si="40"/>
        <v>0</v>
      </c>
      <c r="Q259" s="89">
        <f>-PV(BondCalculator!$B$9/12,B259,0,1,0)</f>
        <v>0.27892548077700197</v>
      </c>
      <c r="S259" s="90">
        <f t="shared" si="29"/>
        <v>0</v>
      </c>
    </row>
    <row r="260" spans="1:19" ht="15" customHeight="1">
      <c r="A260" s="85" t="s">
        <v>120</v>
      </c>
      <c r="B260" s="96">
        <v>257</v>
      </c>
      <c r="C260" s="86">
        <f t="shared" si="35"/>
        <v>0</v>
      </c>
      <c r="D260" s="86">
        <f>IF(G259=0,0,IF(G259&lt;BondCalculator!$B$12,G259+E260,BondCalculator!$B$12))</f>
        <v>0</v>
      </c>
      <c r="E260" s="86">
        <f>C260*BondCalculator!$B$5/12</f>
        <v>0</v>
      </c>
      <c r="F260" s="86">
        <f t="shared" si="36"/>
        <v>0</v>
      </c>
      <c r="G260" s="86">
        <f t="shared" si="31"/>
        <v>0</v>
      </c>
      <c r="H260" s="98">
        <f t="shared" si="32"/>
        <v>0</v>
      </c>
      <c r="J260" s="88">
        <f t="shared" si="37"/>
        <v>0</v>
      </c>
      <c r="K260" s="88">
        <f>IF(N259=0,0,IF(N259&lt;BondCalculator!$B$12+BondCalculator!$B$7,N259+L260,BondCalculator!$B$12+BondCalculator!$B$7))</f>
        <v>0</v>
      </c>
      <c r="L260" s="88">
        <f>J260*BondCalculator!$B$5/12</f>
        <v>0</v>
      </c>
      <c r="M260" s="88">
        <f t="shared" si="38"/>
        <v>0</v>
      </c>
      <c r="N260" s="88">
        <f t="shared" si="39"/>
        <v>0</v>
      </c>
      <c r="P260" s="88">
        <f t="shared" si="40"/>
        <v>0</v>
      </c>
      <c r="Q260" s="89">
        <f>-PV(BondCalculator!$B$9/12,B260,0,1,0)</f>
        <v>0.2775377918179124</v>
      </c>
      <c r="S260" s="90">
        <f aca="true" t="shared" si="41" ref="S260:S323">P260*Q260</f>
        <v>0</v>
      </c>
    </row>
    <row r="261" spans="1:19" ht="15" customHeight="1">
      <c r="A261" s="85" t="s">
        <v>120</v>
      </c>
      <c r="B261" s="96">
        <v>258</v>
      </c>
      <c r="C261" s="86">
        <f t="shared" si="35"/>
        <v>0</v>
      </c>
      <c r="D261" s="86">
        <f>IF(G260=0,0,IF(G260&lt;BondCalculator!$B$12,G260+E261,BondCalculator!$B$12))</f>
        <v>0</v>
      </c>
      <c r="E261" s="86">
        <f>C261*BondCalculator!$B$5/12</f>
        <v>0</v>
      </c>
      <c r="F261" s="86">
        <f t="shared" si="36"/>
        <v>0</v>
      </c>
      <c r="G261" s="86">
        <f aca="true" t="shared" si="42" ref="G261:G324">IF(ROUND(C261-F261,0)=0,0,C261-F261)</f>
        <v>0</v>
      </c>
      <c r="H261" s="98">
        <f aca="true" t="shared" si="43" ref="H261:H324">G261/$C$4</f>
        <v>0</v>
      </c>
      <c r="J261" s="88">
        <f t="shared" si="37"/>
        <v>0</v>
      </c>
      <c r="K261" s="88">
        <f>IF(N260=0,0,IF(N260&lt;BondCalculator!$B$12+BondCalculator!$B$7,N260+L261,BondCalculator!$B$12+BondCalculator!$B$7))</f>
        <v>0</v>
      </c>
      <c r="L261" s="88">
        <f>J261*BondCalculator!$B$5/12</f>
        <v>0</v>
      </c>
      <c r="M261" s="88">
        <f t="shared" si="38"/>
        <v>0</v>
      </c>
      <c r="N261" s="88">
        <f t="shared" si="39"/>
        <v>0</v>
      </c>
      <c r="P261" s="88">
        <f t="shared" si="40"/>
        <v>0</v>
      </c>
      <c r="Q261" s="89">
        <f>-PV(BondCalculator!$B$9/12,B261,0,1,0)</f>
        <v>0.2761570067839925</v>
      </c>
      <c r="S261" s="90">
        <f t="shared" si="41"/>
        <v>0</v>
      </c>
    </row>
    <row r="262" spans="1:19" ht="15" customHeight="1">
      <c r="A262" s="85" t="s">
        <v>120</v>
      </c>
      <c r="B262" s="96">
        <v>259</v>
      </c>
      <c r="C262" s="86">
        <f aca="true" t="shared" si="44" ref="C262:C325">IF(ROUND(G261,0)=0,0,G261)</f>
        <v>0</v>
      </c>
      <c r="D262" s="86">
        <f>IF(G261=0,0,IF(G261&lt;BondCalculator!$B$12,G261+E262,BondCalculator!$B$12))</f>
        <v>0</v>
      </c>
      <c r="E262" s="86">
        <f>C262*BondCalculator!$B$5/12</f>
        <v>0</v>
      </c>
      <c r="F262" s="86">
        <f t="shared" si="36"/>
        <v>0</v>
      </c>
      <c r="G262" s="86">
        <f t="shared" si="42"/>
        <v>0</v>
      </c>
      <c r="H262" s="98">
        <f t="shared" si="43"/>
        <v>0</v>
      </c>
      <c r="J262" s="88">
        <f t="shared" si="37"/>
        <v>0</v>
      </c>
      <c r="K262" s="88">
        <f>IF(N261=0,0,IF(N261&lt;BondCalculator!$B$12+BondCalculator!$B$7,N261+L262,BondCalculator!$B$12+BondCalculator!$B$7))</f>
        <v>0</v>
      </c>
      <c r="L262" s="88">
        <f>J262*BondCalculator!$B$5/12</f>
        <v>0</v>
      </c>
      <c r="M262" s="88">
        <f t="shared" si="38"/>
        <v>0</v>
      </c>
      <c r="N262" s="88">
        <f t="shared" si="39"/>
        <v>0</v>
      </c>
      <c r="P262" s="88">
        <f t="shared" si="40"/>
        <v>0</v>
      </c>
      <c r="Q262" s="89">
        <f>-PV(BondCalculator!$B$9/12,B262,0,1,0)</f>
        <v>0.27478309132735573</v>
      </c>
      <c r="S262" s="90">
        <f t="shared" si="41"/>
        <v>0</v>
      </c>
    </row>
    <row r="263" spans="1:19" ht="15" customHeight="1">
      <c r="A263" s="85" t="s">
        <v>120</v>
      </c>
      <c r="B263" s="96">
        <v>260</v>
      </c>
      <c r="C263" s="86">
        <f t="shared" si="44"/>
        <v>0</v>
      </c>
      <c r="D263" s="86">
        <f>IF(G262=0,0,IF(G262&lt;BondCalculator!$B$12,G262+E263,BondCalculator!$B$12))</f>
        <v>0</v>
      </c>
      <c r="E263" s="86">
        <f>C263*BondCalculator!$B$5/12</f>
        <v>0</v>
      </c>
      <c r="F263" s="86">
        <f t="shared" si="36"/>
        <v>0</v>
      </c>
      <c r="G263" s="86">
        <f t="shared" si="42"/>
        <v>0</v>
      </c>
      <c r="H263" s="98">
        <f t="shared" si="43"/>
        <v>0</v>
      </c>
      <c r="J263" s="88">
        <f t="shared" si="37"/>
        <v>0</v>
      </c>
      <c r="K263" s="88">
        <f>IF(N262=0,0,IF(N262&lt;BondCalculator!$B$12+BondCalculator!$B$7,N262+L263,BondCalculator!$B$12+BondCalculator!$B$7))</f>
        <v>0</v>
      </c>
      <c r="L263" s="88">
        <f>J263*BondCalculator!$B$5/12</f>
        <v>0</v>
      </c>
      <c r="M263" s="88">
        <f t="shared" si="38"/>
        <v>0</v>
      </c>
      <c r="N263" s="88">
        <f t="shared" si="39"/>
        <v>0</v>
      </c>
      <c r="P263" s="88">
        <f t="shared" si="40"/>
        <v>0</v>
      </c>
      <c r="Q263" s="89">
        <f>-PV(BondCalculator!$B$9/12,B263,0,1,0)</f>
        <v>0.2734160112710008</v>
      </c>
      <c r="S263" s="90">
        <f t="shared" si="41"/>
        <v>0</v>
      </c>
    </row>
    <row r="264" spans="1:19" ht="15" customHeight="1">
      <c r="A264" s="85" t="s">
        <v>120</v>
      </c>
      <c r="B264" s="96">
        <v>261</v>
      </c>
      <c r="C264" s="86">
        <f t="shared" si="44"/>
        <v>0</v>
      </c>
      <c r="D264" s="86">
        <f>IF(G263=0,0,IF(G263&lt;BondCalculator!$B$12,G263+E264,BondCalculator!$B$12))</f>
        <v>0</v>
      </c>
      <c r="E264" s="86">
        <f>C264*BondCalculator!$B$5/12</f>
        <v>0</v>
      </c>
      <c r="F264" s="86">
        <f t="shared" si="36"/>
        <v>0</v>
      </c>
      <c r="G264" s="86">
        <f t="shared" si="42"/>
        <v>0</v>
      </c>
      <c r="H264" s="98">
        <f t="shared" si="43"/>
        <v>0</v>
      </c>
      <c r="J264" s="88">
        <f t="shared" si="37"/>
        <v>0</v>
      </c>
      <c r="K264" s="88">
        <f>IF(N263=0,0,IF(N263&lt;BondCalculator!$B$12+BondCalculator!$B$7,N263+L264,BondCalculator!$B$12+BondCalculator!$B$7))</f>
        <v>0</v>
      </c>
      <c r="L264" s="88">
        <f>J264*BondCalculator!$B$5/12</f>
        <v>0</v>
      </c>
      <c r="M264" s="88">
        <f t="shared" si="38"/>
        <v>0</v>
      </c>
      <c r="N264" s="88">
        <f t="shared" si="39"/>
        <v>0</v>
      </c>
      <c r="P264" s="88">
        <f t="shared" si="40"/>
        <v>0</v>
      </c>
      <c r="Q264" s="89">
        <f>-PV(BondCalculator!$B$9/12,B264,0,1,0)</f>
        <v>0.27205573260796106</v>
      </c>
      <c r="S264" s="90">
        <f t="shared" si="41"/>
        <v>0</v>
      </c>
    </row>
    <row r="265" spans="1:19" ht="15" customHeight="1">
      <c r="A265" s="85" t="s">
        <v>120</v>
      </c>
      <c r="B265" s="96">
        <v>262</v>
      </c>
      <c r="C265" s="86">
        <f t="shared" si="44"/>
        <v>0</v>
      </c>
      <c r="D265" s="86">
        <f>IF(G264=0,0,IF(G264&lt;BondCalculator!$B$12,G264+E265,BondCalculator!$B$12))</f>
        <v>0</v>
      </c>
      <c r="E265" s="86">
        <f>C265*BondCalculator!$B$5/12</f>
        <v>0</v>
      </c>
      <c r="F265" s="86">
        <f t="shared" si="36"/>
        <v>0</v>
      </c>
      <c r="G265" s="86">
        <f t="shared" si="42"/>
        <v>0</v>
      </c>
      <c r="H265" s="98">
        <f t="shared" si="43"/>
        <v>0</v>
      </c>
      <c r="J265" s="88">
        <f t="shared" si="37"/>
        <v>0</v>
      </c>
      <c r="K265" s="88">
        <f>IF(N264=0,0,IF(N264&lt;BondCalculator!$B$12+BondCalculator!$B$7,N264+L265,BondCalculator!$B$12+BondCalculator!$B$7))</f>
        <v>0</v>
      </c>
      <c r="L265" s="88">
        <f>J265*BondCalculator!$B$5/12</f>
        <v>0</v>
      </c>
      <c r="M265" s="88">
        <f t="shared" si="38"/>
        <v>0</v>
      </c>
      <c r="N265" s="88">
        <f t="shared" si="39"/>
        <v>0</v>
      </c>
      <c r="P265" s="88">
        <f t="shared" si="40"/>
        <v>0</v>
      </c>
      <c r="Q265" s="89">
        <f>-PV(BondCalculator!$B$9/12,B265,0,1,0)</f>
        <v>0.2707022215004588</v>
      </c>
      <c r="S265" s="90">
        <f t="shared" si="41"/>
        <v>0</v>
      </c>
    </row>
    <row r="266" spans="1:19" ht="15" customHeight="1">
      <c r="A266" s="85" t="s">
        <v>120</v>
      </c>
      <c r="B266" s="96">
        <v>263</v>
      </c>
      <c r="C266" s="86">
        <f t="shared" si="44"/>
        <v>0</v>
      </c>
      <c r="D266" s="86">
        <f>IF(G265=0,0,IF(G265&lt;BondCalculator!$B$12,G265+E266,BondCalculator!$B$12))</f>
        <v>0</v>
      </c>
      <c r="E266" s="86">
        <f>C266*BondCalculator!$B$5/12</f>
        <v>0</v>
      </c>
      <c r="F266" s="86">
        <f t="shared" si="36"/>
        <v>0</v>
      </c>
      <c r="G266" s="86">
        <f t="shared" si="42"/>
        <v>0</v>
      </c>
      <c r="H266" s="98">
        <f t="shared" si="43"/>
        <v>0</v>
      </c>
      <c r="J266" s="88">
        <f t="shared" si="37"/>
        <v>0</v>
      </c>
      <c r="K266" s="88">
        <f>IF(N265=0,0,IF(N265&lt;BondCalculator!$B$12+BondCalculator!$B$7,N265+L266,BondCalculator!$B$12+BondCalculator!$B$7))</f>
        <v>0</v>
      </c>
      <c r="L266" s="88">
        <f>J266*BondCalculator!$B$5/12</f>
        <v>0</v>
      </c>
      <c r="M266" s="88">
        <f t="shared" si="38"/>
        <v>0</v>
      </c>
      <c r="N266" s="88">
        <f t="shared" si="39"/>
        <v>0</v>
      </c>
      <c r="P266" s="88">
        <f t="shared" si="40"/>
        <v>0</v>
      </c>
      <c r="Q266" s="89">
        <f>-PV(BondCalculator!$B$9/12,B266,0,1,0)</f>
        <v>0.26935544427906355</v>
      </c>
      <c r="S266" s="90">
        <f t="shared" si="41"/>
        <v>0</v>
      </c>
    </row>
    <row r="267" spans="1:19" ht="15" customHeight="1">
      <c r="A267" s="85" t="s">
        <v>120</v>
      </c>
      <c r="B267" s="96">
        <v>264</v>
      </c>
      <c r="C267" s="86">
        <f t="shared" si="44"/>
        <v>0</v>
      </c>
      <c r="D267" s="86">
        <f>IF(G266=0,0,IF(G266&lt;BondCalculator!$B$12,G266+E267,BondCalculator!$B$12))</f>
        <v>0</v>
      </c>
      <c r="E267" s="86">
        <f>C267*BondCalculator!$B$5/12</f>
        <v>0</v>
      </c>
      <c r="F267" s="86">
        <f t="shared" si="36"/>
        <v>0</v>
      </c>
      <c r="G267" s="86">
        <f t="shared" si="42"/>
        <v>0</v>
      </c>
      <c r="H267" s="98">
        <f t="shared" si="43"/>
        <v>0</v>
      </c>
      <c r="J267" s="88">
        <f t="shared" si="37"/>
        <v>0</v>
      </c>
      <c r="K267" s="88">
        <f>IF(N266=0,0,IF(N266&lt;BondCalculator!$B$12+BondCalculator!$B$7,N266+L267,BondCalculator!$B$12+BondCalculator!$B$7))</f>
        <v>0</v>
      </c>
      <c r="L267" s="88">
        <f>J267*BondCalculator!$B$5/12</f>
        <v>0</v>
      </c>
      <c r="M267" s="88">
        <f t="shared" si="38"/>
        <v>0</v>
      </c>
      <c r="N267" s="88">
        <f t="shared" si="39"/>
        <v>0</v>
      </c>
      <c r="P267" s="88">
        <f t="shared" si="40"/>
        <v>0</v>
      </c>
      <c r="Q267" s="89">
        <f>-PV(BondCalculator!$B$9/12,B267,0,1,0)</f>
        <v>0.2680153674418543</v>
      </c>
      <c r="S267" s="90">
        <f t="shared" si="41"/>
        <v>0</v>
      </c>
    </row>
    <row r="268" spans="1:19" ht="15" customHeight="1">
      <c r="A268" s="85" t="s">
        <v>121</v>
      </c>
      <c r="B268" s="96">
        <v>265</v>
      </c>
      <c r="C268" s="86">
        <f t="shared" si="44"/>
        <v>0</v>
      </c>
      <c r="D268" s="86">
        <f>IF(G267=0,0,IF(G267&lt;BondCalculator!$B$12,G267+E268,BondCalculator!$B$12))</f>
        <v>0</v>
      </c>
      <c r="E268" s="86">
        <f>C268*BondCalculator!$B$5/12</f>
        <v>0</v>
      </c>
      <c r="F268" s="86">
        <f t="shared" si="36"/>
        <v>0</v>
      </c>
      <c r="G268" s="86">
        <f t="shared" si="42"/>
        <v>0</v>
      </c>
      <c r="H268" s="98">
        <f t="shared" si="43"/>
        <v>0</v>
      </c>
      <c r="J268" s="88">
        <f t="shared" si="37"/>
        <v>0</v>
      </c>
      <c r="K268" s="88">
        <f>IF(N267=0,0,IF(N267&lt;BondCalculator!$B$12+BondCalculator!$B$7,N267+L268,BondCalculator!$B$12+BondCalculator!$B$7))</f>
        <v>0</v>
      </c>
      <c r="L268" s="88">
        <f>J268*BondCalculator!$B$5/12</f>
        <v>0</v>
      </c>
      <c r="M268" s="88">
        <f t="shared" si="38"/>
        <v>0</v>
      </c>
      <c r="N268" s="88">
        <f t="shared" si="39"/>
        <v>0</v>
      </c>
      <c r="P268" s="88">
        <f t="shared" si="40"/>
        <v>0</v>
      </c>
      <c r="Q268" s="89">
        <f>-PV(BondCalculator!$B$9/12,B268,0,1,0)</f>
        <v>0.2666819576535864</v>
      </c>
      <c r="S268" s="90">
        <f t="shared" si="41"/>
        <v>0</v>
      </c>
    </row>
    <row r="269" spans="1:19" ht="15" customHeight="1">
      <c r="A269" s="85" t="s">
        <v>121</v>
      </c>
      <c r="B269" s="96">
        <v>266</v>
      </c>
      <c r="C269" s="86">
        <f t="shared" si="44"/>
        <v>0</v>
      </c>
      <c r="D269" s="86">
        <f>IF(G268=0,0,IF(G268&lt;BondCalculator!$B$12,G268+E269,BondCalculator!$B$12))</f>
        <v>0</v>
      </c>
      <c r="E269" s="86">
        <f>C269*BondCalculator!$B$5/12</f>
        <v>0</v>
      </c>
      <c r="F269" s="86">
        <f t="shared" si="36"/>
        <v>0</v>
      </c>
      <c r="G269" s="86">
        <f t="shared" si="42"/>
        <v>0</v>
      </c>
      <c r="H269" s="98">
        <f t="shared" si="43"/>
        <v>0</v>
      </c>
      <c r="J269" s="88">
        <f t="shared" si="37"/>
        <v>0</v>
      </c>
      <c r="K269" s="88">
        <f>IF(N268=0,0,IF(N268&lt;BondCalculator!$B$12+BondCalculator!$B$7,N268+L269,BondCalculator!$B$12+BondCalculator!$B$7))</f>
        <v>0</v>
      </c>
      <c r="L269" s="88">
        <f>J269*BondCalculator!$B$5/12</f>
        <v>0</v>
      </c>
      <c r="M269" s="88">
        <f t="shared" si="38"/>
        <v>0</v>
      </c>
      <c r="N269" s="88">
        <f t="shared" si="39"/>
        <v>0</v>
      </c>
      <c r="P269" s="88">
        <f t="shared" si="40"/>
        <v>0</v>
      </c>
      <c r="Q269" s="89">
        <f>-PV(BondCalculator!$B$9/12,B269,0,1,0)</f>
        <v>0.2653551817448621</v>
      </c>
      <c r="S269" s="90">
        <f t="shared" si="41"/>
        <v>0</v>
      </c>
    </row>
    <row r="270" spans="1:19" ht="15" customHeight="1">
      <c r="A270" s="85" t="s">
        <v>121</v>
      </c>
      <c r="B270" s="96">
        <v>267</v>
      </c>
      <c r="C270" s="86">
        <f t="shared" si="44"/>
        <v>0</v>
      </c>
      <c r="D270" s="86">
        <f>IF(G269=0,0,IF(G269&lt;BondCalculator!$B$12,G269+E270,BondCalculator!$B$12))</f>
        <v>0</v>
      </c>
      <c r="E270" s="86">
        <f>C270*BondCalculator!$B$5/12</f>
        <v>0</v>
      </c>
      <c r="F270" s="86">
        <f t="shared" si="36"/>
        <v>0</v>
      </c>
      <c r="G270" s="86">
        <f t="shared" si="42"/>
        <v>0</v>
      </c>
      <c r="H270" s="98">
        <f t="shared" si="43"/>
        <v>0</v>
      </c>
      <c r="J270" s="88">
        <f t="shared" si="37"/>
        <v>0</v>
      </c>
      <c r="K270" s="88">
        <f>IF(N269=0,0,IF(N269&lt;BondCalculator!$B$12+BondCalculator!$B$7,N269+L270,BondCalculator!$B$12+BondCalculator!$B$7))</f>
        <v>0</v>
      </c>
      <c r="L270" s="88">
        <f>J270*BondCalculator!$B$5/12</f>
        <v>0</v>
      </c>
      <c r="M270" s="88">
        <f t="shared" si="38"/>
        <v>0</v>
      </c>
      <c r="N270" s="88">
        <f t="shared" si="39"/>
        <v>0</v>
      </c>
      <c r="P270" s="88">
        <f t="shared" si="40"/>
        <v>0</v>
      </c>
      <c r="Q270" s="89">
        <f>-PV(BondCalculator!$B$9/12,B270,0,1,0)</f>
        <v>0.2640350067113056</v>
      </c>
      <c r="S270" s="90">
        <f t="shared" si="41"/>
        <v>0</v>
      </c>
    </row>
    <row r="271" spans="1:19" ht="15" customHeight="1">
      <c r="A271" s="85" t="s">
        <v>121</v>
      </c>
      <c r="B271" s="96">
        <v>268</v>
      </c>
      <c r="C271" s="86">
        <f t="shared" si="44"/>
        <v>0</v>
      </c>
      <c r="D271" s="86">
        <f>IF(G270=0,0,IF(G270&lt;BondCalculator!$B$12,G270+E271,BondCalculator!$B$12))</f>
        <v>0</v>
      </c>
      <c r="E271" s="86">
        <f>C271*BondCalculator!$B$5/12</f>
        <v>0</v>
      </c>
      <c r="F271" s="86">
        <f t="shared" si="36"/>
        <v>0</v>
      </c>
      <c r="G271" s="86">
        <f t="shared" si="42"/>
        <v>0</v>
      </c>
      <c r="H271" s="98">
        <f t="shared" si="43"/>
        <v>0</v>
      </c>
      <c r="J271" s="88">
        <f t="shared" si="37"/>
        <v>0</v>
      </c>
      <c r="K271" s="88">
        <f>IF(N270=0,0,IF(N270&lt;BondCalculator!$B$12+BondCalculator!$B$7,N270+L271,BondCalculator!$B$12+BondCalculator!$B$7))</f>
        <v>0</v>
      </c>
      <c r="L271" s="88">
        <f>J271*BondCalculator!$B$5/12</f>
        <v>0</v>
      </c>
      <c r="M271" s="88">
        <f t="shared" si="38"/>
        <v>0</v>
      </c>
      <c r="N271" s="88">
        <f t="shared" si="39"/>
        <v>0</v>
      </c>
      <c r="P271" s="88">
        <f t="shared" si="40"/>
        <v>0</v>
      </c>
      <c r="Q271" s="89">
        <f>-PV(BondCalculator!$B$9/12,B271,0,1,0)</f>
        <v>0.26272139971274194</v>
      </c>
      <c r="S271" s="90">
        <f t="shared" si="41"/>
        <v>0</v>
      </c>
    </row>
    <row r="272" spans="1:19" ht="15" customHeight="1">
      <c r="A272" s="85" t="s">
        <v>121</v>
      </c>
      <c r="B272" s="96">
        <v>269</v>
      </c>
      <c r="C272" s="86">
        <f t="shared" si="44"/>
        <v>0</v>
      </c>
      <c r="D272" s="86">
        <f>IF(G271=0,0,IF(G271&lt;BondCalculator!$B$12,G271+E272,BondCalculator!$B$12))</f>
        <v>0</v>
      </c>
      <c r="E272" s="86">
        <f>C272*BondCalculator!$B$5/12</f>
        <v>0</v>
      </c>
      <c r="F272" s="86">
        <f t="shared" si="36"/>
        <v>0</v>
      </c>
      <c r="G272" s="86">
        <f t="shared" si="42"/>
        <v>0</v>
      </c>
      <c r="H272" s="98">
        <f t="shared" si="43"/>
        <v>0</v>
      </c>
      <c r="J272" s="88">
        <f t="shared" si="37"/>
        <v>0</v>
      </c>
      <c r="K272" s="88">
        <f>IF(N271=0,0,IF(N271&lt;BondCalculator!$B$12+BondCalculator!$B$7,N271+L272,BondCalculator!$B$12+BondCalculator!$B$7))</f>
        <v>0</v>
      </c>
      <c r="L272" s="88">
        <f>J272*BondCalculator!$B$5/12</f>
        <v>0</v>
      </c>
      <c r="M272" s="88">
        <f t="shared" si="38"/>
        <v>0</v>
      </c>
      <c r="N272" s="88">
        <f t="shared" si="39"/>
        <v>0</v>
      </c>
      <c r="P272" s="88">
        <f t="shared" si="40"/>
        <v>0</v>
      </c>
      <c r="Q272" s="89">
        <f>-PV(BondCalculator!$B$9/12,B272,0,1,0)</f>
        <v>0.2614143280723801</v>
      </c>
      <c r="S272" s="90">
        <f t="shared" si="41"/>
        <v>0</v>
      </c>
    </row>
    <row r="273" spans="1:19" ht="15" customHeight="1">
      <c r="A273" s="85" t="s">
        <v>121</v>
      </c>
      <c r="B273" s="96">
        <v>270</v>
      </c>
      <c r="C273" s="86">
        <f t="shared" si="44"/>
        <v>0</v>
      </c>
      <c r="D273" s="86">
        <f>IF(G272=0,0,IF(G272&lt;BondCalculator!$B$12,G272+E273,BondCalculator!$B$12))</f>
        <v>0</v>
      </c>
      <c r="E273" s="86">
        <f>C273*BondCalculator!$B$5/12</f>
        <v>0</v>
      </c>
      <c r="F273" s="86">
        <f t="shared" si="36"/>
        <v>0</v>
      </c>
      <c r="G273" s="86">
        <f t="shared" si="42"/>
        <v>0</v>
      </c>
      <c r="H273" s="98">
        <f t="shared" si="43"/>
        <v>0</v>
      </c>
      <c r="J273" s="88">
        <f t="shared" si="37"/>
        <v>0</v>
      </c>
      <c r="K273" s="88">
        <f>IF(N272=0,0,IF(N272&lt;BondCalculator!$B$12+BondCalculator!$B$7,N272+L273,BondCalculator!$B$12+BondCalculator!$B$7))</f>
        <v>0</v>
      </c>
      <c r="L273" s="88">
        <f>J273*BondCalculator!$B$5/12</f>
        <v>0</v>
      </c>
      <c r="M273" s="88">
        <f t="shared" si="38"/>
        <v>0</v>
      </c>
      <c r="N273" s="88">
        <f t="shared" si="39"/>
        <v>0</v>
      </c>
      <c r="P273" s="88">
        <f t="shared" si="40"/>
        <v>0</v>
      </c>
      <c r="Q273" s="89">
        <f>-PV(BondCalculator!$B$9/12,B273,0,1,0)</f>
        <v>0.26011375927600017</v>
      </c>
      <c r="S273" s="90">
        <f t="shared" si="41"/>
        <v>0</v>
      </c>
    </row>
    <row r="274" spans="1:19" ht="15" customHeight="1">
      <c r="A274" s="85" t="s">
        <v>121</v>
      </c>
      <c r="B274" s="96">
        <v>271</v>
      </c>
      <c r="C274" s="86">
        <f t="shared" si="44"/>
        <v>0</v>
      </c>
      <c r="D274" s="86">
        <f>IF(G273=0,0,IF(G273&lt;BondCalculator!$B$12,G273+E274,BondCalculator!$B$12))</f>
        <v>0</v>
      </c>
      <c r="E274" s="86">
        <f>C274*BondCalculator!$B$5/12</f>
        <v>0</v>
      </c>
      <c r="F274" s="86">
        <f t="shared" si="36"/>
        <v>0</v>
      </c>
      <c r="G274" s="86">
        <f t="shared" si="42"/>
        <v>0</v>
      </c>
      <c r="H274" s="98">
        <f t="shared" si="43"/>
        <v>0</v>
      </c>
      <c r="J274" s="88">
        <f t="shared" si="37"/>
        <v>0</v>
      </c>
      <c r="K274" s="88">
        <f>IF(N273=0,0,IF(N273&lt;BondCalculator!$B$12+BondCalculator!$B$7,N273+L274,BondCalculator!$B$12+BondCalculator!$B$7))</f>
        <v>0</v>
      </c>
      <c r="L274" s="88">
        <f>J274*BondCalculator!$B$5/12</f>
        <v>0</v>
      </c>
      <c r="M274" s="88">
        <f t="shared" si="38"/>
        <v>0</v>
      </c>
      <c r="N274" s="88">
        <f t="shared" si="39"/>
        <v>0</v>
      </c>
      <c r="P274" s="88">
        <f t="shared" si="40"/>
        <v>0</v>
      </c>
      <c r="Q274" s="89">
        <f>-PV(BondCalculator!$B$9/12,B274,0,1,0)</f>
        <v>0.2588196609711445</v>
      </c>
      <c r="S274" s="90">
        <f t="shared" si="41"/>
        <v>0</v>
      </c>
    </row>
    <row r="275" spans="1:19" ht="15" customHeight="1">
      <c r="A275" s="85" t="s">
        <v>121</v>
      </c>
      <c r="B275" s="96">
        <v>272</v>
      </c>
      <c r="C275" s="86">
        <f t="shared" si="44"/>
        <v>0</v>
      </c>
      <c r="D275" s="86">
        <f>IF(G274=0,0,IF(G274&lt;BondCalculator!$B$12,G274+E275,BondCalculator!$B$12))</f>
        <v>0</v>
      </c>
      <c r="E275" s="86">
        <f>C275*BondCalculator!$B$5/12</f>
        <v>0</v>
      </c>
      <c r="F275" s="86">
        <f t="shared" si="36"/>
        <v>0</v>
      </c>
      <c r="G275" s="86">
        <f t="shared" si="42"/>
        <v>0</v>
      </c>
      <c r="H275" s="98">
        <f t="shared" si="43"/>
        <v>0</v>
      </c>
      <c r="J275" s="88">
        <f t="shared" si="37"/>
        <v>0</v>
      </c>
      <c r="K275" s="88">
        <f>IF(N274=0,0,IF(N274&lt;BondCalculator!$B$12+BondCalculator!$B$7,N274+L275,BondCalculator!$B$12+BondCalculator!$B$7))</f>
        <v>0</v>
      </c>
      <c r="L275" s="88">
        <f>J275*BondCalculator!$B$5/12</f>
        <v>0</v>
      </c>
      <c r="M275" s="88">
        <f t="shared" si="38"/>
        <v>0</v>
      </c>
      <c r="N275" s="88">
        <f t="shared" si="39"/>
        <v>0</v>
      </c>
      <c r="P275" s="88">
        <f t="shared" si="40"/>
        <v>0</v>
      </c>
      <c r="Q275" s="89">
        <f>-PV(BondCalculator!$B$9/12,B275,0,1,0)</f>
        <v>0.25753200096631296</v>
      </c>
      <c r="S275" s="90">
        <f t="shared" si="41"/>
        <v>0</v>
      </c>
    </row>
    <row r="276" spans="1:19" ht="15" customHeight="1">
      <c r="A276" s="85" t="s">
        <v>121</v>
      </c>
      <c r="B276" s="96">
        <v>273</v>
      </c>
      <c r="C276" s="86">
        <f t="shared" si="44"/>
        <v>0</v>
      </c>
      <c r="D276" s="86">
        <f>IF(G275=0,0,IF(G275&lt;BondCalculator!$B$12,G275+E276,BondCalculator!$B$12))</f>
        <v>0</v>
      </c>
      <c r="E276" s="86">
        <f>C276*BondCalculator!$B$5/12</f>
        <v>0</v>
      </c>
      <c r="F276" s="86">
        <f t="shared" si="36"/>
        <v>0</v>
      </c>
      <c r="G276" s="86">
        <f t="shared" si="42"/>
        <v>0</v>
      </c>
      <c r="H276" s="98">
        <f t="shared" si="43"/>
        <v>0</v>
      </c>
      <c r="J276" s="88">
        <f t="shared" si="37"/>
        <v>0</v>
      </c>
      <c r="K276" s="88">
        <f>IF(N275=0,0,IF(N275&lt;BondCalculator!$B$12+BondCalculator!$B$7,N275+L276,BondCalculator!$B$12+BondCalculator!$B$7))</f>
        <v>0</v>
      </c>
      <c r="L276" s="88">
        <f>J276*BondCalculator!$B$5/12</f>
        <v>0</v>
      </c>
      <c r="M276" s="88">
        <f t="shared" si="38"/>
        <v>0</v>
      </c>
      <c r="N276" s="88">
        <f t="shared" si="39"/>
        <v>0</v>
      </c>
      <c r="P276" s="88">
        <f t="shared" si="40"/>
        <v>0</v>
      </c>
      <c r="Q276" s="89">
        <f>-PV(BondCalculator!$B$9/12,B276,0,1,0)</f>
        <v>0.25625074723016217</v>
      </c>
      <c r="S276" s="90">
        <f t="shared" si="41"/>
        <v>0</v>
      </c>
    </row>
    <row r="277" spans="1:19" ht="15" customHeight="1">
      <c r="A277" s="85" t="s">
        <v>121</v>
      </c>
      <c r="B277" s="96">
        <v>274</v>
      </c>
      <c r="C277" s="86">
        <f t="shared" si="44"/>
        <v>0</v>
      </c>
      <c r="D277" s="86">
        <f>IF(G276=0,0,IF(G276&lt;BondCalculator!$B$12,G276+E277,BondCalculator!$B$12))</f>
        <v>0</v>
      </c>
      <c r="E277" s="86">
        <f>C277*BondCalculator!$B$5/12</f>
        <v>0</v>
      </c>
      <c r="F277" s="86">
        <f t="shared" si="36"/>
        <v>0</v>
      </c>
      <c r="G277" s="86">
        <f t="shared" si="42"/>
        <v>0</v>
      </c>
      <c r="H277" s="98">
        <f t="shared" si="43"/>
        <v>0</v>
      </c>
      <c r="J277" s="88">
        <f t="shared" si="37"/>
        <v>0</v>
      </c>
      <c r="K277" s="88">
        <f>IF(N276=0,0,IF(N276&lt;BondCalculator!$B$12+BondCalculator!$B$7,N276+L277,BondCalculator!$B$12+BondCalculator!$B$7))</f>
        <v>0</v>
      </c>
      <c r="L277" s="88">
        <f>J277*BondCalculator!$B$5/12</f>
        <v>0</v>
      </c>
      <c r="M277" s="88">
        <f t="shared" si="38"/>
        <v>0</v>
      </c>
      <c r="N277" s="88">
        <f t="shared" si="39"/>
        <v>0</v>
      </c>
      <c r="P277" s="88">
        <f t="shared" si="40"/>
        <v>0</v>
      </c>
      <c r="Q277" s="89">
        <f>-PV(BondCalculator!$B$9/12,B277,0,1,0)</f>
        <v>0.25497586789070864</v>
      </c>
      <c r="S277" s="90">
        <f t="shared" si="41"/>
        <v>0</v>
      </c>
    </row>
    <row r="278" spans="1:19" ht="15" customHeight="1">
      <c r="A278" s="85" t="s">
        <v>121</v>
      </c>
      <c r="B278" s="96">
        <v>275</v>
      </c>
      <c r="C278" s="86">
        <f t="shared" si="44"/>
        <v>0</v>
      </c>
      <c r="D278" s="86">
        <f>IF(G277=0,0,IF(G277&lt;BondCalculator!$B$12,G277+E278,BondCalculator!$B$12))</f>
        <v>0</v>
      </c>
      <c r="E278" s="86">
        <f>C278*BondCalculator!$B$5/12</f>
        <v>0</v>
      </c>
      <c r="F278" s="86">
        <f t="shared" si="36"/>
        <v>0</v>
      </c>
      <c r="G278" s="86">
        <f t="shared" si="42"/>
        <v>0</v>
      </c>
      <c r="H278" s="98">
        <f t="shared" si="43"/>
        <v>0</v>
      </c>
      <c r="J278" s="88">
        <f t="shared" si="37"/>
        <v>0</v>
      </c>
      <c r="K278" s="88">
        <f>IF(N277=0,0,IF(N277&lt;BondCalculator!$B$12+BondCalculator!$B$7,N277+L278,BondCalculator!$B$12+BondCalculator!$B$7))</f>
        <v>0</v>
      </c>
      <c r="L278" s="88">
        <f>J278*BondCalculator!$B$5/12</f>
        <v>0</v>
      </c>
      <c r="M278" s="88">
        <f t="shared" si="38"/>
        <v>0</v>
      </c>
      <c r="N278" s="88">
        <f t="shared" si="39"/>
        <v>0</v>
      </c>
      <c r="P278" s="88">
        <f t="shared" si="40"/>
        <v>0</v>
      </c>
      <c r="Q278" s="89">
        <f>-PV(BondCalculator!$B$9/12,B278,0,1,0)</f>
        <v>0.25370733123453604</v>
      </c>
      <c r="S278" s="90">
        <f t="shared" si="41"/>
        <v>0</v>
      </c>
    </row>
    <row r="279" spans="1:19" ht="15" customHeight="1">
      <c r="A279" s="85" t="s">
        <v>121</v>
      </c>
      <c r="B279" s="96">
        <v>276</v>
      </c>
      <c r="C279" s="86">
        <f t="shared" si="44"/>
        <v>0</v>
      </c>
      <c r="D279" s="86">
        <f>IF(G278=0,0,IF(G278&lt;BondCalculator!$B$12,G278+E279,BondCalculator!$B$12))</f>
        <v>0</v>
      </c>
      <c r="E279" s="86">
        <f>C279*BondCalculator!$B$5/12</f>
        <v>0</v>
      </c>
      <c r="F279" s="86">
        <f t="shared" si="36"/>
        <v>0</v>
      </c>
      <c r="G279" s="86">
        <f t="shared" si="42"/>
        <v>0</v>
      </c>
      <c r="H279" s="98">
        <f t="shared" si="43"/>
        <v>0</v>
      </c>
      <c r="J279" s="88">
        <f t="shared" si="37"/>
        <v>0</v>
      </c>
      <c r="K279" s="88">
        <f>IF(N278=0,0,IF(N278&lt;BondCalculator!$B$12+BondCalculator!$B$7,N278+L279,BondCalculator!$B$12+BondCalculator!$B$7))</f>
        <v>0</v>
      </c>
      <c r="L279" s="88">
        <f>J279*BondCalculator!$B$5/12</f>
        <v>0</v>
      </c>
      <c r="M279" s="88">
        <f t="shared" si="38"/>
        <v>0</v>
      </c>
      <c r="N279" s="88">
        <f t="shared" si="39"/>
        <v>0</v>
      </c>
      <c r="P279" s="88">
        <f t="shared" si="40"/>
        <v>0</v>
      </c>
      <c r="Q279" s="89">
        <f>-PV(BondCalculator!$B$9/12,B279,0,1,0)</f>
        <v>0.25244510570600603</v>
      </c>
      <c r="S279" s="90">
        <f t="shared" si="41"/>
        <v>0</v>
      </c>
    </row>
    <row r="280" spans="1:19" ht="15" customHeight="1">
      <c r="A280" s="85" t="s">
        <v>122</v>
      </c>
      <c r="B280" s="96">
        <v>277</v>
      </c>
      <c r="C280" s="86">
        <f t="shared" si="44"/>
        <v>0</v>
      </c>
      <c r="D280" s="86">
        <f>IF(G279=0,0,IF(G279&lt;BondCalculator!$B$12,G279+E280,BondCalculator!$B$12))</f>
        <v>0</v>
      </c>
      <c r="E280" s="86">
        <f>C280*BondCalculator!$B$5/12</f>
        <v>0</v>
      </c>
      <c r="F280" s="86">
        <f t="shared" si="36"/>
        <v>0</v>
      </c>
      <c r="G280" s="86">
        <f t="shared" si="42"/>
        <v>0</v>
      </c>
      <c r="H280" s="98">
        <f t="shared" si="43"/>
        <v>0</v>
      </c>
      <c r="J280" s="88">
        <f t="shared" si="37"/>
        <v>0</v>
      </c>
      <c r="K280" s="88">
        <f>IF(N279=0,0,IF(N279&lt;BondCalculator!$B$12+BondCalculator!$B$7,N279+L280,BondCalculator!$B$12+BondCalculator!$B$7))</f>
        <v>0</v>
      </c>
      <c r="L280" s="88">
        <f>J280*BondCalculator!$B$5/12</f>
        <v>0</v>
      </c>
      <c r="M280" s="88">
        <f t="shared" si="38"/>
        <v>0</v>
      </c>
      <c r="N280" s="88">
        <f t="shared" si="39"/>
        <v>0</v>
      </c>
      <c r="P280" s="88">
        <f t="shared" si="40"/>
        <v>0</v>
      </c>
      <c r="Q280" s="89">
        <f>-PV(BondCalculator!$B$9/12,B280,0,1,0)</f>
        <v>0.2511891599064737</v>
      </c>
      <c r="S280" s="90">
        <f t="shared" si="41"/>
        <v>0</v>
      </c>
    </row>
    <row r="281" spans="1:19" ht="15" customHeight="1">
      <c r="A281" s="85" t="s">
        <v>122</v>
      </c>
      <c r="B281" s="96">
        <v>278</v>
      </c>
      <c r="C281" s="86">
        <f t="shared" si="44"/>
        <v>0</v>
      </c>
      <c r="D281" s="86">
        <f>IF(G280=0,0,IF(G280&lt;BondCalculator!$B$12,G280+E281,BondCalculator!$B$12))</f>
        <v>0</v>
      </c>
      <c r="E281" s="86">
        <f>C281*BondCalculator!$B$5/12</f>
        <v>0</v>
      </c>
      <c r="F281" s="86">
        <f t="shared" si="36"/>
        <v>0</v>
      </c>
      <c r="G281" s="86">
        <f t="shared" si="42"/>
        <v>0</v>
      </c>
      <c r="H281" s="98">
        <f t="shared" si="43"/>
        <v>0</v>
      </c>
      <c r="J281" s="88">
        <f t="shared" si="37"/>
        <v>0</v>
      </c>
      <c r="K281" s="88">
        <f>IF(N280=0,0,IF(N280&lt;BondCalculator!$B$12+BondCalculator!$B$7,N280+L281,BondCalculator!$B$12+BondCalculator!$B$7))</f>
        <v>0</v>
      </c>
      <c r="L281" s="88">
        <f>J281*BondCalculator!$B$5/12</f>
        <v>0</v>
      </c>
      <c r="M281" s="88">
        <f t="shared" si="38"/>
        <v>0</v>
      </c>
      <c r="N281" s="88">
        <f t="shared" si="39"/>
        <v>0</v>
      </c>
      <c r="P281" s="88">
        <f t="shared" si="40"/>
        <v>0</v>
      </c>
      <c r="Q281" s="89">
        <f>-PV(BondCalculator!$B$9/12,B281,0,1,0)</f>
        <v>0.24993946259350622</v>
      </c>
      <c r="S281" s="90">
        <f t="shared" si="41"/>
        <v>0</v>
      </c>
    </row>
    <row r="282" spans="1:19" ht="15" customHeight="1">
      <c r="A282" s="85" t="s">
        <v>122</v>
      </c>
      <c r="B282" s="96">
        <v>279</v>
      </c>
      <c r="C282" s="86">
        <f t="shared" si="44"/>
        <v>0</v>
      </c>
      <c r="D282" s="86">
        <f>IF(G281=0,0,IF(G281&lt;BondCalculator!$B$12,G281+E282,BondCalculator!$B$12))</f>
        <v>0</v>
      </c>
      <c r="E282" s="86">
        <f>C282*BondCalculator!$B$5/12</f>
        <v>0</v>
      </c>
      <c r="F282" s="86">
        <f t="shared" si="36"/>
        <v>0</v>
      </c>
      <c r="G282" s="86">
        <f t="shared" si="42"/>
        <v>0</v>
      </c>
      <c r="H282" s="98">
        <f t="shared" si="43"/>
        <v>0</v>
      </c>
      <c r="J282" s="88">
        <f t="shared" si="37"/>
        <v>0</v>
      </c>
      <c r="K282" s="88">
        <f>IF(N281=0,0,IF(N281&lt;BondCalculator!$B$12+BondCalculator!$B$7,N281+L282,BondCalculator!$B$12+BondCalculator!$B$7))</f>
        <v>0</v>
      </c>
      <c r="L282" s="88">
        <f>J282*BondCalculator!$B$5/12</f>
        <v>0</v>
      </c>
      <c r="M282" s="88">
        <f t="shared" si="38"/>
        <v>0</v>
      </c>
      <c r="N282" s="88">
        <f t="shared" si="39"/>
        <v>0</v>
      </c>
      <c r="P282" s="88">
        <f t="shared" si="40"/>
        <v>0</v>
      </c>
      <c r="Q282" s="89">
        <f>-PV(BondCalculator!$B$9/12,B282,0,1,0)</f>
        <v>0.24869598268010576</v>
      </c>
      <c r="S282" s="90">
        <f t="shared" si="41"/>
        <v>0</v>
      </c>
    </row>
    <row r="283" spans="1:19" ht="15" customHeight="1">
      <c r="A283" s="85" t="s">
        <v>122</v>
      </c>
      <c r="B283" s="96">
        <v>280</v>
      </c>
      <c r="C283" s="86">
        <f t="shared" si="44"/>
        <v>0</v>
      </c>
      <c r="D283" s="86">
        <f>IF(G282=0,0,IF(G282&lt;BondCalculator!$B$12,G282+E283,BondCalculator!$B$12))</f>
        <v>0</v>
      </c>
      <c r="E283" s="86">
        <f>C283*BondCalculator!$B$5/12</f>
        <v>0</v>
      </c>
      <c r="F283" s="86">
        <f t="shared" si="36"/>
        <v>0</v>
      </c>
      <c r="G283" s="86">
        <f t="shared" si="42"/>
        <v>0</v>
      </c>
      <c r="H283" s="98">
        <f t="shared" si="43"/>
        <v>0</v>
      </c>
      <c r="J283" s="88">
        <f t="shared" si="37"/>
        <v>0</v>
      </c>
      <c r="K283" s="88">
        <f>IF(N282=0,0,IF(N282&lt;BondCalculator!$B$12+BondCalculator!$B$7,N282+L283,BondCalculator!$B$12+BondCalculator!$B$7))</f>
        <v>0</v>
      </c>
      <c r="L283" s="88">
        <f>J283*BondCalculator!$B$5/12</f>
        <v>0</v>
      </c>
      <c r="M283" s="88">
        <f t="shared" si="38"/>
        <v>0</v>
      </c>
      <c r="N283" s="88">
        <f t="shared" si="39"/>
        <v>0</v>
      </c>
      <c r="P283" s="88">
        <f t="shared" si="40"/>
        <v>0</v>
      </c>
      <c r="Q283" s="89">
        <f>-PV(BondCalculator!$B$9/12,B283,0,1,0)</f>
        <v>0.24745868923393602</v>
      </c>
      <c r="S283" s="90">
        <f t="shared" si="41"/>
        <v>0</v>
      </c>
    </row>
    <row r="284" spans="1:19" ht="15" customHeight="1">
      <c r="A284" s="85" t="s">
        <v>122</v>
      </c>
      <c r="B284" s="96">
        <v>281</v>
      </c>
      <c r="C284" s="86">
        <f t="shared" si="44"/>
        <v>0</v>
      </c>
      <c r="D284" s="86">
        <f>IF(G283=0,0,IF(G283&lt;BondCalculator!$B$12,G283+E284,BondCalculator!$B$12))</f>
        <v>0</v>
      </c>
      <c r="E284" s="86">
        <f>C284*BondCalculator!$B$5/12</f>
        <v>0</v>
      </c>
      <c r="F284" s="86">
        <f t="shared" si="36"/>
        <v>0</v>
      </c>
      <c r="G284" s="86">
        <f t="shared" si="42"/>
        <v>0</v>
      </c>
      <c r="H284" s="98">
        <f t="shared" si="43"/>
        <v>0</v>
      </c>
      <c r="J284" s="88">
        <f t="shared" si="37"/>
        <v>0</v>
      </c>
      <c r="K284" s="88">
        <f>IF(N283=0,0,IF(N283&lt;BondCalculator!$B$12+BondCalculator!$B$7,N283+L284,BondCalculator!$B$12+BondCalculator!$B$7))</f>
        <v>0</v>
      </c>
      <c r="L284" s="88">
        <f>J284*BondCalculator!$B$5/12</f>
        <v>0</v>
      </c>
      <c r="M284" s="88">
        <f t="shared" si="38"/>
        <v>0</v>
      </c>
      <c r="N284" s="88">
        <f t="shared" si="39"/>
        <v>0</v>
      </c>
      <c r="P284" s="88">
        <f t="shared" si="40"/>
        <v>0</v>
      </c>
      <c r="Q284" s="89">
        <f>-PV(BondCalculator!$B$9/12,B284,0,1,0)</f>
        <v>0.24622755147655334</v>
      </c>
      <c r="S284" s="90">
        <f t="shared" si="41"/>
        <v>0</v>
      </c>
    </row>
    <row r="285" spans="1:19" ht="15" customHeight="1">
      <c r="A285" s="85" t="s">
        <v>122</v>
      </c>
      <c r="B285" s="96">
        <v>282</v>
      </c>
      <c r="C285" s="86">
        <f t="shared" si="44"/>
        <v>0</v>
      </c>
      <c r="D285" s="86">
        <f>IF(G284=0,0,IF(G284&lt;BondCalculator!$B$12,G284+E285,BondCalculator!$B$12))</f>
        <v>0</v>
      </c>
      <c r="E285" s="86">
        <f>C285*BondCalculator!$B$5/12</f>
        <v>0</v>
      </c>
      <c r="F285" s="86">
        <f t="shared" si="36"/>
        <v>0</v>
      </c>
      <c r="G285" s="86">
        <f t="shared" si="42"/>
        <v>0</v>
      </c>
      <c r="H285" s="98">
        <f t="shared" si="43"/>
        <v>0</v>
      </c>
      <c r="J285" s="88">
        <f t="shared" si="37"/>
        <v>0</v>
      </c>
      <c r="K285" s="88">
        <f>IF(N284=0,0,IF(N284&lt;BondCalculator!$B$12+BondCalculator!$B$7,N284+L285,BondCalculator!$B$12+BondCalculator!$B$7))</f>
        <v>0</v>
      </c>
      <c r="L285" s="88">
        <f>J285*BondCalculator!$B$5/12</f>
        <v>0</v>
      </c>
      <c r="M285" s="88">
        <f t="shared" si="38"/>
        <v>0</v>
      </c>
      <c r="N285" s="88">
        <f t="shared" si="39"/>
        <v>0</v>
      </c>
      <c r="P285" s="88">
        <f t="shared" si="40"/>
        <v>0</v>
      </c>
      <c r="Q285" s="89">
        <f>-PV(BondCalculator!$B$9/12,B285,0,1,0)</f>
        <v>0.2450025387826401</v>
      </c>
      <c r="S285" s="90">
        <f t="shared" si="41"/>
        <v>0</v>
      </c>
    </row>
    <row r="286" spans="1:19" ht="15" customHeight="1">
      <c r="A286" s="85" t="s">
        <v>122</v>
      </c>
      <c r="B286" s="96">
        <v>283</v>
      </c>
      <c r="C286" s="86">
        <f t="shared" si="44"/>
        <v>0</v>
      </c>
      <c r="D286" s="86">
        <f>IF(G285=0,0,IF(G285&lt;BondCalculator!$B$12,G285+E286,BondCalculator!$B$12))</f>
        <v>0</v>
      </c>
      <c r="E286" s="86">
        <f>C286*BondCalculator!$B$5/12</f>
        <v>0</v>
      </c>
      <c r="F286" s="86">
        <f t="shared" si="36"/>
        <v>0</v>
      </c>
      <c r="G286" s="86">
        <f t="shared" si="42"/>
        <v>0</v>
      </c>
      <c r="H286" s="98">
        <f t="shared" si="43"/>
        <v>0</v>
      </c>
      <c r="J286" s="88">
        <f t="shared" si="37"/>
        <v>0</v>
      </c>
      <c r="K286" s="88">
        <f>IF(N285=0,0,IF(N285&lt;BondCalculator!$B$12+BondCalculator!$B$7,N285+L286,BondCalculator!$B$12+BondCalculator!$B$7))</f>
        <v>0</v>
      </c>
      <c r="L286" s="88">
        <f>J286*BondCalculator!$B$5/12</f>
        <v>0</v>
      </c>
      <c r="M286" s="88">
        <f t="shared" si="38"/>
        <v>0</v>
      </c>
      <c r="N286" s="88">
        <f t="shared" si="39"/>
        <v>0</v>
      </c>
      <c r="P286" s="88">
        <f t="shared" si="40"/>
        <v>0</v>
      </c>
      <c r="Q286" s="89">
        <f>-PV(BondCalculator!$B$9/12,B286,0,1,0)</f>
        <v>0.24378362067924397</v>
      </c>
      <c r="S286" s="90">
        <f t="shared" si="41"/>
        <v>0</v>
      </c>
    </row>
    <row r="287" spans="1:19" ht="15" customHeight="1">
      <c r="A287" s="85" t="s">
        <v>122</v>
      </c>
      <c r="B287" s="96">
        <v>284</v>
      </c>
      <c r="C287" s="86">
        <f t="shared" si="44"/>
        <v>0</v>
      </c>
      <c r="D287" s="86">
        <f>IF(G286=0,0,IF(G286&lt;BondCalculator!$B$12,G286+E287,BondCalculator!$B$12))</f>
        <v>0</v>
      </c>
      <c r="E287" s="86">
        <f>C287*BondCalculator!$B$5/12</f>
        <v>0</v>
      </c>
      <c r="F287" s="86">
        <f t="shared" si="36"/>
        <v>0</v>
      </c>
      <c r="G287" s="86">
        <f t="shared" si="42"/>
        <v>0</v>
      </c>
      <c r="H287" s="98">
        <f t="shared" si="43"/>
        <v>0</v>
      </c>
      <c r="J287" s="88">
        <f t="shared" si="37"/>
        <v>0</v>
      </c>
      <c r="K287" s="88">
        <f>IF(N286=0,0,IF(N286&lt;BondCalculator!$B$12+BondCalculator!$B$7,N286+L287,BondCalculator!$B$12+BondCalculator!$B$7))</f>
        <v>0</v>
      </c>
      <c r="L287" s="88">
        <f>J287*BondCalculator!$B$5/12</f>
        <v>0</v>
      </c>
      <c r="M287" s="88">
        <f t="shared" si="38"/>
        <v>0</v>
      </c>
      <c r="N287" s="88">
        <f t="shared" si="39"/>
        <v>0</v>
      </c>
      <c r="P287" s="88">
        <f t="shared" si="40"/>
        <v>0</v>
      </c>
      <c r="Q287" s="89">
        <f>-PV(BondCalculator!$B$9/12,B287,0,1,0)</f>
        <v>0.2425707668450189</v>
      </c>
      <c r="S287" s="90">
        <f t="shared" si="41"/>
        <v>0</v>
      </c>
    </row>
    <row r="288" spans="1:19" ht="15" customHeight="1">
      <c r="A288" s="85" t="s">
        <v>122</v>
      </c>
      <c r="B288" s="96">
        <v>285</v>
      </c>
      <c r="C288" s="86">
        <f t="shared" si="44"/>
        <v>0</v>
      </c>
      <c r="D288" s="86">
        <f>IF(G287=0,0,IF(G287&lt;BondCalculator!$B$12,G287+E288,BondCalculator!$B$12))</f>
        <v>0</v>
      </c>
      <c r="E288" s="86">
        <f>C288*BondCalculator!$B$5/12</f>
        <v>0</v>
      </c>
      <c r="F288" s="86">
        <f t="shared" si="36"/>
        <v>0</v>
      </c>
      <c r="G288" s="86">
        <f t="shared" si="42"/>
        <v>0</v>
      </c>
      <c r="H288" s="98">
        <f t="shared" si="43"/>
        <v>0</v>
      </c>
      <c r="J288" s="88">
        <f t="shared" si="37"/>
        <v>0</v>
      </c>
      <c r="K288" s="88">
        <f>IF(N287=0,0,IF(N287&lt;BondCalculator!$B$12+BondCalculator!$B$7,N287+L288,BondCalculator!$B$12+BondCalculator!$B$7))</f>
        <v>0</v>
      </c>
      <c r="L288" s="88">
        <f>J288*BondCalculator!$B$5/12</f>
        <v>0</v>
      </c>
      <c r="M288" s="88">
        <f t="shared" si="38"/>
        <v>0</v>
      </c>
      <c r="N288" s="88">
        <f t="shared" si="39"/>
        <v>0</v>
      </c>
      <c r="P288" s="88">
        <f t="shared" si="40"/>
        <v>0</v>
      </c>
      <c r="Q288" s="89">
        <f>-PV(BondCalculator!$B$9/12,B288,0,1,0)</f>
        <v>0.2413639471094716</v>
      </c>
      <c r="S288" s="90">
        <f t="shared" si="41"/>
        <v>0</v>
      </c>
    </row>
    <row r="289" spans="1:19" ht="15" customHeight="1">
      <c r="A289" s="85" t="s">
        <v>122</v>
      </c>
      <c r="B289" s="96">
        <v>286</v>
      </c>
      <c r="C289" s="86">
        <f t="shared" si="44"/>
        <v>0</v>
      </c>
      <c r="D289" s="86">
        <f>IF(G288=0,0,IF(G288&lt;BondCalculator!$B$12,G288+E289,BondCalculator!$B$12))</f>
        <v>0</v>
      </c>
      <c r="E289" s="86">
        <f>C289*BondCalculator!$B$5/12</f>
        <v>0</v>
      </c>
      <c r="F289" s="86">
        <f t="shared" si="36"/>
        <v>0</v>
      </c>
      <c r="G289" s="86">
        <f t="shared" si="42"/>
        <v>0</v>
      </c>
      <c r="H289" s="98">
        <f t="shared" si="43"/>
        <v>0</v>
      </c>
      <c r="J289" s="88">
        <f t="shared" si="37"/>
        <v>0</v>
      </c>
      <c r="K289" s="88">
        <f>IF(N288=0,0,IF(N288&lt;BondCalculator!$B$12+BondCalculator!$B$7,N288+L289,BondCalculator!$B$12+BondCalculator!$B$7))</f>
        <v>0</v>
      </c>
      <c r="L289" s="88">
        <f>J289*BondCalculator!$B$5/12</f>
        <v>0</v>
      </c>
      <c r="M289" s="88">
        <f t="shared" si="38"/>
        <v>0</v>
      </c>
      <c r="N289" s="88">
        <f t="shared" si="39"/>
        <v>0</v>
      </c>
      <c r="P289" s="88">
        <f t="shared" si="40"/>
        <v>0</v>
      </c>
      <c r="Q289" s="89">
        <f>-PV(BondCalculator!$B$9/12,B289,0,1,0)</f>
        <v>0.24016313145221058</v>
      </c>
      <c r="S289" s="90">
        <f t="shared" si="41"/>
        <v>0</v>
      </c>
    </row>
    <row r="290" spans="1:19" ht="15" customHeight="1">
      <c r="A290" s="85" t="s">
        <v>122</v>
      </c>
      <c r="B290" s="96">
        <v>287</v>
      </c>
      <c r="C290" s="86">
        <f t="shared" si="44"/>
        <v>0</v>
      </c>
      <c r="D290" s="86">
        <f>IF(G289=0,0,IF(G289&lt;BondCalculator!$B$12,G289+E290,BondCalculator!$B$12))</f>
        <v>0</v>
      </c>
      <c r="E290" s="86">
        <f>C290*BondCalculator!$B$5/12</f>
        <v>0</v>
      </c>
      <c r="F290" s="86">
        <f t="shared" si="36"/>
        <v>0</v>
      </c>
      <c r="G290" s="86">
        <f t="shared" si="42"/>
        <v>0</v>
      </c>
      <c r="H290" s="98">
        <f t="shared" si="43"/>
        <v>0</v>
      </c>
      <c r="J290" s="88">
        <f t="shared" si="37"/>
        <v>0</v>
      </c>
      <c r="K290" s="88">
        <f>IF(N289=0,0,IF(N289&lt;BondCalculator!$B$12+BondCalculator!$B$7,N289+L290,BondCalculator!$B$12+BondCalculator!$B$7))</f>
        <v>0</v>
      </c>
      <c r="L290" s="88">
        <f>J290*BondCalculator!$B$5/12</f>
        <v>0</v>
      </c>
      <c r="M290" s="88">
        <f t="shared" si="38"/>
        <v>0</v>
      </c>
      <c r="N290" s="88">
        <f t="shared" si="39"/>
        <v>0</v>
      </c>
      <c r="P290" s="88">
        <f t="shared" si="40"/>
        <v>0</v>
      </c>
      <c r="Q290" s="89">
        <f>-PV(BondCalculator!$B$9/12,B290,0,1,0)</f>
        <v>0.23896829000219963</v>
      </c>
      <c r="S290" s="90">
        <f t="shared" si="41"/>
        <v>0</v>
      </c>
    </row>
    <row r="291" spans="1:19" ht="15" customHeight="1">
      <c r="A291" s="85" t="s">
        <v>122</v>
      </c>
      <c r="B291" s="96">
        <v>288</v>
      </c>
      <c r="C291" s="86">
        <f t="shared" si="44"/>
        <v>0</v>
      </c>
      <c r="D291" s="86">
        <f>IF(G290=0,0,IF(G290&lt;BondCalculator!$B$12,G290+E291,BondCalculator!$B$12))</f>
        <v>0</v>
      </c>
      <c r="E291" s="86">
        <f>C291*BondCalculator!$B$5/12</f>
        <v>0</v>
      </c>
      <c r="F291" s="86">
        <f t="shared" si="36"/>
        <v>0</v>
      </c>
      <c r="G291" s="86">
        <f t="shared" si="42"/>
        <v>0</v>
      </c>
      <c r="H291" s="98">
        <f t="shared" si="43"/>
        <v>0</v>
      </c>
      <c r="J291" s="88">
        <f t="shared" si="37"/>
        <v>0</v>
      </c>
      <c r="K291" s="88">
        <f>IF(N290=0,0,IF(N290&lt;BondCalculator!$B$12+BondCalculator!$B$7,N290+L291,BondCalculator!$B$12+BondCalculator!$B$7))</f>
        <v>0</v>
      </c>
      <c r="L291" s="88">
        <f>J291*BondCalculator!$B$5/12</f>
        <v>0</v>
      </c>
      <c r="M291" s="88">
        <f t="shared" si="38"/>
        <v>0</v>
      </c>
      <c r="N291" s="88">
        <f t="shared" si="39"/>
        <v>0</v>
      </c>
      <c r="P291" s="88">
        <f t="shared" si="40"/>
        <v>0</v>
      </c>
      <c r="Q291" s="89">
        <f>-PV(BondCalculator!$B$9/12,B291,0,1,0)</f>
        <v>0.23777939303701462</v>
      </c>
      <c r="S291" s="90">
        <f t="shared" si="41"/>
        <v>0</v>
      </c>
    </row>
    <row r="292" spans="1:19" ht="15" customHeight="1">
      <c r="A292" s="85" t="s">
        <v>123</v>
      </c>
      <c r="B292" s="96">
        <v>289</v>
      </c>
      <c r="C292" s="86">
        <f t="shared" si="44"/>
        <v>0</v>
      </c>
      <c r="D292" s="86">
        <f>IF(G291=0,0,IF(G291&lt;BondCalculator!$B$12,G291+E292,BondCalculator!$B$12))</f>
        <v>0</v>
      </c>
      <c r="E292" s="86">
        <f>C292*BondCalculator!$B$5/12</f>
        <v>0</v>
      </c>
      <c r="F292" s="86">
        <f t="shared" si="36"/>
        <v>0</v>
      </c>
      <c r="G292" s="86">
        <f t="shared" si="42"/>
        <v>0</v>
      </c>
      <c r="H292" s="98">
        <f t="shared" si="43"/>
        <v>0</v>
      </c>
      <c r="J292" s="88">
        <f t="shared" si="37"/>
        <v>0</v>
      </c>
      <c r="K292" s="88">
        <f>IF(N291=0,0,IF(N291&lt;BondCalculator!$B$12+BondCalculator!$B$7,N291+L292,BondCalculator!$B$12+BondCalculator!$B$7))</f>
        <v>0</v>
      </c>
      <c r="L292" s="88">
        <f>J292*BondCalculator!$B$5/12</f>
        <v>0</v>
      </c>
      <c r="M292" s="88">
        <f t="shared" si="38"/>
        <v>0</v>
      </c>
      <c r="N292" s="88">
        <f t="shared" si="39"/>
        <v>0</v>
      </c>
      <c r="P292" s="88">
        <f t="shared" si="40"/>
        <v>0</v>
      </c>
      <c r="Q292" s="89">
        <f>-PV(BondCalculator!$B$9/12,B292,0,1,0)</f>
        <v>0.2365964109821041</v>
      </c>
      <c r="S292" s="90">
        <f t="shared" si="41"/>
        <v>0</v>
      </c>
    </row>
    <row r="293" spans="1:19" ht="15" customHeight="1">
      <c r="A293" s="85" t="s">
        <v>123</v>
      </c>
      <c r="B293" s="96">
        <v>290</v>
      </c>
      <c r="C293" s="86">
        <f t="shared" si="44"/>
        <v>0</v>
      </c>
      <c r="D293" s="86">
        <f>IF(G292=0,0,IF(G292&lt;BondCalculator!$B$12,G292+E293,BondCalculator!$B$12))</f>
        <v>0</v>
      </c>
      <c r="E293" s="86">
        <f>C293*BondCalculator!$B$5/12</f>
        <v>0</v>
      </c>
      <c r="F293" s="86">
        <f t="shared" si="36"/>
        <v>0</v>
      </c>
      <c r="G293" s="86">
        <f t="shared" si="42"/>
        <v>0</v>
      </c>
      <c r="H293" s="98">
        <f t="shared" si="43"/>
        <v>0</v>
      </c>
      <c r="J293" s="88">
        <f t="shared" si="37"/>
        <v>0</v>
      </c>
      <c r="K293" s="88">
        <f>IF(N292=0,0,IF(N292&lt;BondCalculator!$B$12+BondCalculator!$B$7,N292+L293,BondCalculator!$B$12+BondCalculator!$B$7))</f>
        <v>0</v>
      </c>
      <c r="L293" s="88">
        <f>J293*BondCalculator!$B$5/12</f>
        <v>0</v>
      </c>
      <c r="M293" s="88">
        <f t="shared" si="38"/>
        <v>0</v>
      </c>
      <c r="N293" s="88">
        <f t="shared" si="39"/>
        <v>0</v>
      </c>
      <c r="P293" s="88">
        <f t="shared" si="40"/>
        <v>0</v>
      </c>
      <c r="Q293" s="89">
        <f>-PV(BondCalculator!$B$9/12,B293,0,1,0)</f>
        <v>0.2354193144100539</v>
      </c>
      <c r="S293" s="90">
        <f t="shared" si="41"/>
        <v>0</v>
      </c>
    </row>
    <row r="294" spans="1:19" ht="15" customHeight="1">
      <c r="A294" s="85" t="s">
        <v>123</v>
      </c>
      <c r="B294" s="96">
        <v>291</v>
      </c>
      <c r="C294" s="86">
        <f t="shared" si="44"/>
        <v>0</v>
      </c>
      <c r="D294" s="86">
        <f>IF(G293=0,0,IF(G293&lt;BondCalculator!$B$12,G293+E294,BondCalculator!$B$12))</f>
        <v>0</v>
      </c>
      <c r="E294" s="86">
        <f>C294*BondCalculator!$B$5/12</f>
        <v>0</v>
      </c>
      <c r="F294" s="86">
        <f t="shared" si="36"/>
        <v>0</v>
      </c>
      <c r="G294" s="86">
        <f t="shared" si="42"/>
        <v>0</v>
      </c>
      <c r="H294" s="98">
        <f t="shared" si="43"/>
        <v>0</v>
      </c>
      <c r="J294" s="88">
        <f t="shared" si="37"/>
        <v>0</v>
      </c>
      <c r="K294" s="88">
        <f>IF(N293=0,0,IF(N293&lt;BondCalculator!$B$12+BondCalculator!$B$7,N293+L294,BondCalculator!$B$12+BondCalculator!$B$7))</f>
        <v>0</v>
      </c>
      <c r="L294" s="88">
        <f>J294*BondCalculator!$B$5/12</f>
        <v>0</v>
      </c>
      <c r="M294" s="88">
        <f t="shared" si="38"/>
        <v>0</v>
      </c>
      <c r="N294" s="88">
        <f t="shared" si="39"/>
        <v>0</v>
      </c>
      <c r="P294" s="88">
        <f t="shared" si="40"/>
        <v>0</v>
      </c>
      <c r="Q294" s="89">
        <f>-PV(BondCalculator!$B$9/12,B294,0,1,0)</f>
        <v>0.2342480740398546</v>
      </c>
      <c r="S294" s="90">
        <f t="shared" si="41"/>
        <v>0</v>
      </c>
    </row>
    <row r="295" spans="1:19" ht="15" customHeight="1">
      <c r="A295" s="85" t="s">
        <v>123</v>
      </c>
      <c r="B295" s="96">
        <v>292</v>
      </c>
      <c r="C295" s="86">
        <f t="shared" si="44"/>
        <v>0</v>
      </c>
      <c r="D295" s="86">
        <f>IF(G294=0,0,IF(G294&lt;BondCalculator!$B$12,G294+E295,BondCalculator!$B$12))</f>
        <v>0</v>
      </c>
      <c r="E295" s="86">
        <f>C295*BondCalculator!$B$5/12</f>
        <v>0</v>
      </c>
      <c r="F295" s="86">
        <f t="shared" si="36"/>
        <v>0</v>
      </c>
      <c r="G295" s="86">
        <f t="shared" si="42"/>
        <v>0</v>
      </c>
      <c r="H295" s="98">
        <f t="shared" si="43"/>
        <v>0</v>
      </c>
      <c r="J295" s="88">
        <f t="shared" si="37"/>
        <v>0</v>
      </c>
      <c r="K295" s="88">
        <f>IF(N294=0,0,IF(N294&lt;BondCalculator!$B$12+BondCalculator!$B$7,N294+L295,BondCalculator!$B$12+BondCalculator!$B$7))</f>
        <v>0</v>
      </c>
      <c r="L295" s="88">
        <f>J295*BondCalculator!$B$5/12</f>
        <v>0</v>
      </c>
      <c r="M295" s="88">
        <f t="shared" si="38"/>
        <v>0</v>
      </c>
      <c r="N295" s="88">
        <f t="shared" si="39"/>
        <v>0</v>
      </c>
      <c r="P295" s="88">
        <f t="shared" si="40"/>
        <v>0</v>
      </c>
      <c r="Q295" s="89">
        <f>-PV(BondCalculator!$B$9/12,B295,0,1,0)</f>
        <v>0.2330826607361738</v>
      </c>
      <c r="S295" s="90">
        <f t="shared" si="41"/>
        <v>0</v>
      </c>
    </row>
    <row r="296" spans="1:19" ht="15" customHeight="1">
      <c r="A296" s="85" t="s">
        <v>123</v>
      </c>
      <c r="B296" s="96">
        <v>293</v>
      </c>
      <c r="C296" s="86">
        <f t="shared" si="44"/>
        <v>0</v>
      </c>
      <c r="D296" s="86">
        <f>IF(G295=0,0,IF(G295&lt;BondCalculator!$B$12,G295+E296,BondCalculator!$B$12))</f>
        <v>0</v>
      </c>
      <c r="E296" s="86">
        <f>C296*BondCalculator!$B$5/12</f>
        <v>0</v>
      </c>
      <c r="F296" s="86">
        <f t="shared" si="36"/>
        <v>0</v>
      </c>
      <c r="G296" s="86">
        <f t="shared" si="42"/>
        <v>0</v>
      </c>
      <c r="H296" s="98">
        <f t="shared" si="43"/>
        <v>0</v>
      </c>
      <c r="J296" s="88">
        <f t="shared" si="37"/>
        <v>0</v>
      </c>
      <c r="K296" s="88">
        <f>IF(N295=0,0,IF(N295&lt;BondCalculator!$B$12+BondCalculator!$B$7,N295+L296,BondCalculator!$B$12+BondCalculator!$B$7))</f>
        <v>0</v>
      </c>
      <c r="L296" s="88">
        <f>J296*BondCalculator!$B$5/12</f>
        <v>0</v>
      </c>
      <c r="M296" s="88">
        <f t="shared" si="38"/>
        <v>0</v>
      </c>
      <c r="N296" s="88">
        <f t="shared" si="39"/>
        <v>0</v>
      </c>
      <c r="P296" s="88">
        <f t="shared" si="40"/>
        <v>0</v>
      </c>
      <c r="Q296" s="89">
        <f>-PV(BondCalculator!$B$9/12,B296,0,1,0)</f>
        <v>0.23192304550863074</v>
      </c>
      <c r="S296" s="90">
        <f t="shared" si="41"/>
        <v>0</v>
      </c>
    </row>
    <row r="297" spans="1:19" ht="15" customHeight="1">
      <c r="A297" s="85" t="s">
        <v>123</v>
      </c>
      <c r="B297" s="96">
        <v>294</v>
      </c>
      <c r="C297" s="86">
        <f t="shared" si="44"/>
        <v>0</v>
      </c>
      <c r="D297" s="86">
        <f>IF(G296=0,0,IF(G296&lt;BondCalculator!$B$12,G296+E297,BondCalculator!$B$12))</f>
        <v>0</v>
      </c>
      <c r="E297" s="86">
        <f>C297*BondCalculator!$B$5/12</f>
        <v>0</v>
      </c>
      <c r="F297" s="86">
        <f t="shared" si="36"/>
        <v>0</v>
      </c>
      <c r="G297" s="86">
        <f t="shared" si="42"/>
        <v>0</v>
      </c>
      <c r="H297" s="98">
        <f t="shared" si="43"/>
        <v>0</v>
      </c>
      <c r="J297" s="88">
        <f t="shared" si="37"/>
        <v>0</v>
      </c>
      <c r="K297" s="88">
        <f>IF(N296=0,0,IF(N296&lt;BondCalculator!$B$12+BondCalculator!$B$7,N296+L297,BondCalculator!$B$12+BondCalculator!$B$7))</f>
        <v>0</v>
      </c>
      <c r="L297" s="88">
        <f>J297*BondCalculator!$B$5/12</f>
        <v>0</v>
      </c>
      <c r="M297" s="88">
        <f t="shared" si="38"/>
        <v>0</v>
      </c>
      <c r="N297" s="88">
        <f t="shared" si="39"/>
        <v>0</v>
      </c>
      <c r="P297" s="88">
        <f t="shared" si="40"/>
        <v>0</v>
      </c>
      <c r="Q297" s="89">
        <f>-PV(BondCalculator!$B$9/12,B297,0,1,0)</f>
        <v>0.23076919951107536</v>
      </c>
      <c r="S297" s="90">
        <f t="shared" si="41"/>
        <v>0</v>
      </c>
    </row>
    <row r="298" spans="1:19" ht="15" customHeight="1">
      <c r="A298" s="85" t="s">
        <v>123</v>
      </c>
      <c r="B298" s="96">
        <v>295</v>
      </c>
      <c r="C298" s="86">
        <f t="shared" si="44"/>
        <v>0</v>
      </c>
      <c r="D298" s="86">
        <f>IF(G297=0,0,IF(G297&lt;BondCalculator!$B$12,G297+E298,BondCalculator!$B$12))</f>
        <v>0</v>
      </c>
      <c r="E298" s="86">
        <f>C298*BondCalculator!$B$5/12</f>
        <v>0</v>
      </c>
      <c r="F298" s="86">
        <f t="shared" si="36"/>
        <v>0</v>
      </c>
      <c r="G298" s="86">
        <f t="shared" si="42"/>
        <v>0</v>
      </c>
      <c r="H298" s="98">
        <f t="shared" si="43"/>
        <v>0</v>
      </c>
      <c r="J298" s="88">
        <f t="shared" si="37"/>
        <v>0</v>
      </c>
      <c r="K298" s="88">
        <f>IF(N297=0,0,IF(N297&lt;BondCalculator!$B$12+BondCalculator!$B$7,N297+L298,BondCalculator!$B$12+BondCalculator!$B$7))</f>
        <v>0</v>
      </c>
      <c r="L298" s="88">
        <f>J298*BondCalculator!$B$5/12</f>
        <v>0</v>
      </c>
      <c r="M298" s="88">
        <f t="shared" si="38"/>
        <v>0</v>
      </c>
      <c r="N298" s="88">
        <f t="shared" si="39"/>
        <v>0</v>
      </c>
      <c r="P298" s="88">
        <f t="shared" si="40"/>
        <v>0</v>
      </c>
      <c r="Q298" s="89">
        <f>-PV(BondCalculator!$B$9/12,B298,0,1,0)</f>
        <v>0.22962109404087103</v>
      </c>
      <c r="S298" s="90">
        <f t="shared" si="41"/>
        <v>0</v>
      </c>
    </row>
    <row r="299" spans="1:19" ht="15" customHeight="1">
      <c r="A299" s="85" t="s">
        <v>123</v>
      </c>
      <c r="B299" s="96">
        <v>296</v>
      </c>
      <c r="C299" s="86">
        <f t="shared" si="44"/>
        <v>0</v>
      </c>
      <c r="D299" s="86">
        <f>IF(G298=0,0,IF(G298&lt;BondCalculator!$B$12,G298+E299,BondCalculator!$B$12))</f>
        <v>0</v>
      </c>
      <c r="E299" s="86">
        <f>C299*BondCalculator!$B$5/12</f>
        <v>0</v>
      </c>
      <c r="F299" s="86">
        <f t="shared" si="36"/>
        <v>0</v>
      </c>
      <c r="G299" s="86">
        <f t="shared" si="42"/>
        <v>0</v>
      </c>
      <c r="H299" s="98">
        <f t="shared" si="43"/>
        <v>0</v>
      </c>
      <c r="J299" s="88">
        <f t="shared" si="37"/>
        <v>0</v>
      </c>
      <c r="K299" s="88">
        <f>IF(N298=0,0,IF(N298&lt;BondCalculator!$B$12+BondCalculator!$B$7,N298+L299,BondCalculator!$B$12+BondCalculator!$B$7))</f>
        <v>0</v>
      </c>
      <c r="L299" s="88">
        <f>J299*BondCalculator!$B$5/12</f>
        <v>0</v>
      </c>
      <c r="M299" s="88">
        <f t="shared" si="38"/>
        <v>0</v>
      </c>
      <c r="N299" s="88">
        <f t="shared" si="39"/>
        <v>0</v>
      </c>
      <c r="P299" s="88">
        <f t="shared" si="40"/>
        <v>0</v>
      </c>
      <c r="Q299" s="89">
        <f>-PV(BondCalculator!$B$9/12,B299,0,1,0)</f>
        <v>0.22847870053818015</v>
      </c>
      <c r="S299" s="90">
        <f t="shared" si="41"/>
        <v>0</v>
      </c>
    </row>
    <row r="300" spans="1:19" ht="15" customHeight="1">
      <c r="A300" s="85" t="s">
        <v>123</v>
      </c>
      <c r="B300" s="96">
        <v>297</v>
      </c>
      <c r="C300" s="86">
        <f t="shared" si="44"/>
        <v>0</v>
      </c>
      <c r="D300" s="86">
        <f>IF(G299=0,0,IF(G299&lt;BondCalculator!$B$12,G299+E300,BondCalculator!$B$12))</f>
        <v>0</v>
      </c>
      <c r="E300" s="86">
        <f>C300*BondCalculator!$B$5/12</f>
        <v>0</v>
      </c>
      <c r="F300" s="86">
        <f t="shared" si="36"/>
        <v>0</v>
      </c>
      <c r="G300" s="86">
        <f t="shared" si="42"/>
        <v>0</v>
      </c>
      <c r="H300" s="98">
        <f t="shared" si="43"/>
        <v>0</v>
      </c>
      <c r="J300" s="88">
        <f t="shared" si="37"/>
        <v>0</v>
      </c>
      <c r="K300" s="88">
        <f>IF(N299=0,0,IF(N299&lt;BondCalculator!$B$12+BondCalculator!$B$7,N299+L300,BondCalculator!$B$12+BondCalculator!$B$7))</f>
        <v>0</v>
      </c>
      <c r="L300" s="88">
        <f>J300*BondCalculator!$B$5/12</f>
        <v>0</v>
      </c>
      <c r="M300" s="88">
        <f t="shared" si="38"/>
        <v>0</v>
      </c>
      <c r="N300" s="88">
        <f t="shared" si="39"/>
        <v>0</v>
      </c>
      <c r="P300" s="88">
        <f t="shared" si="40"/>
        <v>0</v>
      </c>
      <c r="Q300" s="89">
        <f>-PV(BondCalculator!$B$9/12,B300,0,1,0)</f>
        <v>0.2273419905852539</v>
      </c>
      <c r="S300" s="90">
        <f t="shared" si="41"/>
        <v>0</v>
      </c>
    </row>
    <row r="301" spans="1:19" ht="15" customHeight="1">
      <c r="A301" s="85" t="s">
        <v>123</v>
      </c>
      <c r="B301" s="96">
        <v>298</v>
      </c>
      <c r="C301" s="86">
        <f t="shared" si="44"/>
        <v>0</v>
      </c>
      <c r="D301" s="86">
        <f>IF(G300=0,0,IF(G300&lt;BondCalculator!$B$12,G300+E301,BondCalculator!$B$12))</f>
        <v>0</v>
      </c>
      <c r="E301" s="86">
        <f>C301*BondCalculator!$B$5/12</f>
        <v>0</v>
      </c>
      <c r="F301" s="86">
        <f t="shared" si="36"/>
        <v>0</v>
      </c>
      <c r="G301" s="86">
        <f t="shared" si="42"/>
        <v>0</v>
      </c>
      <c r="H301" s="98">
        <f t="shared" si="43"/>
        <v>0</v>
      </c>
      <c r="J301" s="88">
        <f t="shared" si="37"/>
        <v>0</v>
      </c>
      <c r="K301" s="88">
        <f>IF(N300=0,0,IF(N300&lt;BondCalculator!$B$12+BondCalculator!$B$7,N300+L301,BondCalculator!$B$12+BondCalculator!$B$7))</f>
        <v>0</v>
      </c>
      <c r="L301" s="88">
        <f>J301*BondCalculator!$B$5/12</f>
        <v>0</v>
      </c>
      <c r="M301" s="88">
        <f t="shared" si="38"/>
        <v>0</v>
      </c>
      <c r="N301" s="88">
        <f t="shared" si="39"/>
        <v>0</v>
      </c>
      <c r="P301" s="88">
        <f t="shared" si="40"/>
        <v>0</v>
      </c>
      <c r="Q301" s="89">
        <f>-PV(BondCalculator!$B$9/12,B301,0,1,0)</f>
        <v>0.22621093590572533</v>
      </c>
      <c r="S301" s="90">
        <f t="shared" si="41"/>
        <v>0</v>
      </c>
    </row>
    <row r="302" spans="1:19" ht="15" customHeight="1">
      <c r="A302" s="85" t="s">
        <v>123</v>
      </c>
      <c r="B302" s="96">
        <v>299</v>
      </c>
      <c r="C302" s="86">
        <f t="shared" si="44"/>
        <v>0</v>
      </c>
      <c r="D302" s="86">
        <f>IF(G301=0,0,IF(G301&lt;BondCalculator!$B$12,G301+E302,BondCalculator!$B$12))</f>
        <v>0</v>
      </c>
      <c r="E302" s="86">
        <f>C302*BondCalculator!$B$5/12</f>
        <v>0</v>
      </c>
      <c r="F302" s="86">
        <f t="shared" si="36"/>
        <v>0</v>
      </c>
      <c r="G302" s="86">
        <f t="shared" si="42"/>
        <v>0</v>
      </c>
      <c r="H302" s="98">
        <f t="shared" si="43"/>
        <v>0</v>
      </c>
      <c r="J302" s="88">
        <f t="shared" si="37"/>
        <v>0</v>
      </c>
      <c r="K302" s="88">
        <f>IF(N301=0,0,IF(N301&lt;BondCalculator!$B$12+BondCalculator!$B$7,N301+L302,BondCalculator!$B$12+BondCalculator!$B$7))</f>
        <v>0</v>
      </c>
      <c r="L302" s="88">
        <f>J302*BondCalculator!$B$5/12</f>
        <v>0</v>
      </c>
      <c r="M302" s="88">
        <f t="shared" si="38"/>
        <v>0</v>
      </c>
      <c r="N302" s="88">
        <f t="shared" si="39"/>
        <v>0</v>
      </c>
      <c r="P302" s="88">
        <f t="shared" si="40"/>
        <v>0</v>
      </c>
      <c r="Q302" s="89">
        <f>-PV(BondCalculator!$B$9/12,B302,0,1,0)</f>
        <v>0.2250855083639058</v>
      </c>
      <c r="S302" s="90">
        <f t="shared" si="41"/>
        <v>0</v>
      </c>
    </row>
    <row r="303" spans="1:19" ht="15" customHeight="1">
      <c r="A303" s="85" t="s">
        <v>123</v>
      </c>
      <c r="B303" s="96">
        <v>300</v>
      </c>
      <c r="C303" s="86">
        <f t="shared" si="44"/>
        <v>0</v>
      </c>
      <c r="D303" s="86">
        <f>IF(G302=0,0,IF(G302&lt;BondCalculator!$B$12,G302+E303,BondCalculator!$B$12))</f>
        <v>0</v>
      </c>
      <c r="E303" s="86">
        <f>C303*BondCalculator!$B$5/12</f>
        <v>0</v>
      </c>
      <c r="F303" s="86">
        <f t="shared" si="36"/>
        <v>0</v>
      </c>
      <c r="G303" s="86">
        <f t="shared" si="42"/>
        <v>0</v>
      </c>
      <c r="H303" s="98">
        <f t="shared" si="43"/>
        <v>0</v>
      </c>
      <c r="J303" s="88">
        <f t="shared" si="37"/>
        <v>0</v>
      </c>
      <c r="K303" s="88">
        <f>IF(N302=0,0,IF(N302&lt;BondCalculator!$B$12+BondCalculator!$B$7,N302+L303,BondCalculator!$B$12+BondCalculator!$B$7))</f>
        <v>0</v>
      </c>
      <c r="L303" s="88">
        <f>J303*BondCalculator!$B$5/12</f>
        <v>0</v>
      </c>
      <c r="M303" s="88">
        <f t="shared" si="38"/>
        <v>0</v>
      </c>
      <c r="N303" s="88">
        <f t="shared" si="39"/>
        <v>0</v>
      </c>
      <c r="P303" s="88">
        <f t="shared" si="40"/>
        <v>0</v>
      </c>
      <c r="Q303" s="89">
        <f>-PV(BondCalculator!$B$9/12,B303,0,1,0)</f>
        <v>0.22396567996408542</v>
      </c>
      <c r="S303" s="90">
        <f t="shared" si="41"/>
        <v>0</v>
      </c>
    </row>
    <row r="304" spans="1:19" ht="15" customHeight="1">
      <c r="A304" s="85" t="s">
        <v>124</v>
      </c>
      <c r="B304" s="96">
        <v>301</v>
      </c>
      <c r="C304" s="86">
        <f t="shared" si="44"/>
        <v>0</v>
      </c>
      <c r="D304" s="86">
        <f>IF(G303=0,0,IF(G303&lt;BondCalculator!$B$12,G303+E304,BondCalculator!$B$12))</f>
        <v>0</v>
      </c>
      <c r="E304" s="86">
        <f>C304*BondCalculator!$B$5/12</f>
        <v>0</v>
      </c>
      <c r="F304" s="86">
        <f t="shared" si="36"/>
        <v>0</v>
      </c>
      <c r="G304" s="86">
        <f t="shared" si="42"/>
        <v>0</v>
      </c>
      <c r="H304" s="98">
        <f t="shared" si="43"/>
        <v>0</v>
      </c>
      <c r="J304" s="88">
        <f t="shared" si="37"/>
        <v>0</v>
      </c>
      <c r="K304" s="88">
        <f>IF(N303=0,0,IF(N303&lt;BondCalculator!$B$12+BondCalculator!$B$7,N303+L304,BondCalculator!$B$12+BondCalculator!$B$7))</f>
        <v>0</v>
      </c>
      <c r="L304" s="88">
        <f>J304*BondCalculator!$B$5/12</f>
        <v>0</v>
      </c>
      <c r="M304" s="88">
        <f t="shared" si="38"/>
        <v>0</v>
      </c>
      <c r="N304" s="88">
        <f t="shared" si="39"/>
        <v>0</v>
      </c>
      <c r="P304" s="88">
        <f t="shared" si="40"/>
        <v>0</v>
      </c>
      <c r="Q304" s="89">
        <f>-PV(BondCalculator!$B$9/12,B304,0,1,0)</f>
        <v>0.2228514228498363</v>
      </c>
      <c r="S304" s="90">
        <f t="shared" si="41"/>
        <v>0</v>
      </c>
    </row>
    <row r="305" spans="1:19" ht="15" customHeight="1">
      <c r="A305" s="85" t="s">
        <v>124</v>
      </c>
      <c r="B305" s="96">
        <v>302</v>
      </c>
      <c r="C305" s="86">
        <f t="shared" si="44"/>
        <v>0</v>
      </c>
      <c r="D305" s="86">
        <f>IF(G304=0,0,IF(G304&lt;BondCalculator!$B$12,G304+E305,BondCalculator!$B$12))</f>
        <v>0</v>
      </c>
      <c r="E305" s="86">
        <f>C305*BondCalculator!$B$5/12</f>
        <v>0</v>
      </c>
      <c r="F305" s="86">
        <f t="shared" si="36"/>
        <v>0</v>
      </c>
      <c r="G305" s="86">
        <f t="shared" si="42"/>
        <v>0</v>
      </c>
      <c r="H305" s="98">
        <f t="shared" si="43"/>
        <v>0</v>
      </c>
      <c r="J305" s="88">
        <f t="shared" si="37"/>
        <v>0</v>
      </c>
      <c r="K305" s="88">
        <f>IF(N304=0,0,IF(N304&lt;BondCalculator!$B$12+BondCalculator!$B$7,N304+L305,BondCalculator!$B$12+BondCalculator!$B$7))</f>
        <v>0</v>
      </c>
      <c r="L305" s="88">
        <f>J305*BondCalculator!$B$5/12</f>
        <v>0</v>
      </c>
      <c r="M305" s="88">
        <f t="shared" si="38"/>
        <v>0</v>
      </c>
      <c r="N305" s="88">
        <f t="shared" si="39"/>
        <v>0</v>
      </c>
      <c r="P305" s="88">
        <f t="shared" si="40"/>
        <v>0</v>
      </c>
      <c r="Q305" s="89">
        <f>-PV(BondCalculator!$B$9/12,B305,0,1,0)</f>
        <v>0.22174270930331974</v>
      </c>
      <c r="S305" s="90">
        <f t="shared" si="41"/>
        <v>0</v>
      </c>
    </row>
    <row r="306" spans="1:19" ht="15" customHeight="1">
      <c r="A306" s="85" t="s">
        <v>124</v>
      </c>
      <c r="B306" s="96">
        <v>303</v>
      </c>
      <c r="C306" s="86">
        <f t="shared" si="44"/>
        <v>0</v>
      </c>
      <c r="D306" s="86">
        <f>IF(G305=0,0,IF(G305&lt;BondCalculator!$B$12,G305+E306,BondCalculator!$B$12))</f>
        <v>0</v>
      </c>
      <c r="E306" s="86">
        <f>C306*BondCalculator!$B$5/12</f>
        <v>0</v>
      </c>
      <c r="F306" s="86">
        <f t="shared" si="36"/>
        <v>0</v>
      </c>
      <c r="G306" s="86">
        <f t="shared" si="42"/>
        <v>0</v>
      </c>
      <c r="H306" s="98">
        <f t="shared" si="43"/>
        <v>0</v>
      </c>
      <c r="J306" s="88">
        <f t="shared" si="37"/>
        <v>0</v>
      </c>
      <c r="K306" s="88">
        <f>IF(N305=0,0,IF(N305&lt;BondCalculator!$B$12+BondCalculator!$B$7,N305+L306,BondCalculator!$B$12+BondCalculator!$B$7))</f>
        <v>0</v>
      </c>
      <c r="L306" s="88">
        <f>J306*BondCalculator!$B$5/12</f>
        <v>0</v>
      </c>
      <c r="M306" s="88">
        <f t="shared" si="38"/>
        <v>0</v>
      </c>
      <c r="N306" s="88">
        <f t="shared" si="39"/>
        <v>0</v>
      </c>
      <c r="P306" s="88">
        <f t="shared" si="40"/>
        <v>0</v>
      </c>
      <c r="Q306" s="89">
        <f>-PV(BondCalculator!$B$9/12,B306,0,1,0)</f>
        <v>0.2206395117445968</v>
      </c>
      <c r="S306" s="90">
        <f t="shared" si="41"/>
        <v>0</v>
      </c>
    </row>
    <row r="307" spans="1:19" ht="15" customHeight="1">
      <c r="A307" s="85" t="s">
        <v>124</v>
      </c>
      <c r="B307" s="96">
        <v>304</v>
      </c>
      <c r="C307" s="86">
        <f t="shared" si="44"/>
        <v>0</v>
      </c>
      <c r="D307" s="86">
        <f>IF(G306=0,0,IF(G306&lt;BondCalculator!$B$12,G306+E307,BondCalculator!$B$12))</f>
        <v>0</v>
      </c>
      <c r="E307" s="86">
        <f>C307*BondCalculator!$B$5/12</f>
        <v>0</v>
      </c>
      <c r="F307" s="86">
        <f t="shared" si="36"/>
        <v>0</v>
      </c>
      <c r="G307" s="86">
        <f t="shared" si="42"/>
        <v>0</v>
      </c>
      <c r="H307" s="98">
        <f t="shared" si="43"/>
        <v>0</v>
      </c>
      <c r="J307" s="88">
        <f t="shared" si="37"/>
        <v>0</v>
      </c>
      <c r="K307" s="88">
        <f>IF(N306=0,0,IF(N306&lt;BondCalculator!$B$12+BondCalculator!$B$7,N306+L307,BondCalculator!$B$12+BondCalculator!$B$7))</f>
        <v>0</v>
      </c>
      <c r="L307" s="88">
        <f>J307*BondCalculator!$B$5/12</f>
        <v>0</v>
      </c>
      <c r="M307" s="88">
        <f t="shared" si="38"/>
        <v>0</v>
      </c>
      <c r="N307" s="88">
        <f t="shared" si="39"/>
        <v>0</v>
      </c>
      <c r="P307" s="88">
        <f t="shared" si="40"/>
        <v>0</v>
      </c>
      <c r="Q307" s="89">
        <f>-PV(BondCalculator!$B$9/12,B307,0,1,0)</f>
        <v>0.21954180273094215</v>
      </c>
      <c r="S307" s="90">
        <f t="shared" si="41"/>
        <v>0</v>
      </c>
    </row>
    <row r="308" spans="1:19" ht="15" customHeight="1">
      <c r="A308" s="85" t="s">
        <v>124</v>
      </c>
      <c r="B308" s="96">
        <v>305</v>
      </c>
      <c r="C308" s="86">
        <f t="shared" si="44"/>
        <v>0</v>
      </c>
      <c r="D308" s="86">
        <f>IF(G307=0,0,IF(G307&lt;BondCalculator!$B$12,G307+E308,BondCalculator!$B$12))</f>
        <v>0</v>
      </c>
      <c r="E308" s="86">
        <f>C308*BondCalculator!$B$5/12</f>
        <v>0</v>
      </c>
      <c r="F308" s="86">
        <f aca="true" t="shared" si="45" ref="F308:F363">D308-E308</f>
        <v>0</v>
      </c>
      <c r="G308" s="86">
        <f t="shared" si="42"/>
        <v>0</v>
      </c>
      <c r="H308" s="98">
        <f t="shared" si="43"/>
        <v>0</v>
      </c>
      <c r="J308" s="88">
        <f aca="true" t="shared" si="46" ref="J308:J363">IF(ROUND(N307,0)&gt;0,N307,0)</f>
        <v>0</v>
      </c>
      <c r="K308" s="88">
        <f>IF(N307=0,0,IF(N307&lt;BondCalculator!$B$12+BondCalculator!$B$7,N307+L308,BondCalculator!$B$12+BondCalculator!$B$7))</f>
        <v>0</v>
      </c>
      <c r="L308" s="88">
        <f>J308*BondCalculator!$B$5/12</f>
        <v>0</v>
      </c>
      <c r="M308" s="88">
        <f aca="true" t="shared" si="47" ref="M308:M363">IF(K308-L308&gt;N307,N307,K308-L308)</f>
        <v>0</v>
      </c>
      <c r="N308" s="88">
        <f aca="true" t="shared" si="48" ref="N308:N363">J308-M308</f>
        <v>0</v>
      </c>
      <c r="P308" s="88">
        <f aca="true" t="shared" si="49" ref="P308:P363">E308-L308</f>
        <v>0</v>
      </c>
      <c r="Q308" s="89">
        <f>-PV(BondCalculator!$B$9/12,B308,0,1,0)</f>
        <v>0.21844955495616133</v>
      </c>
      <c r="S308" s="90">
        <f t="shared" si="41"/>
        <v>0</v>
      </c>
    </row>
    <row r="309" spans="1:19" ht="15" customHeight="1">
      <c r="A309" s="85" t="s">
        <v>124</v>
      </c>
      <c r="B309" s="96">
        <v>306</v>
      </c>
      <c r="C309" s="86">
        <f t="shared" si="44"/>
        <v>0</v>
      </c>
      <c r="D309" s="86">
        <f>IF(G308=0,0,IF(G308&lt;BondCalculator!$B$12,G308+E309,BondCalculator!$B$12))</f>
        <v>0</v>
      </c>
      <c r="E309" s="86">
        <f>C309*BondCalculator!$B$5/12</f>
        <v>0</v>
      </c>
      <c r="F309" s="86">
        <f t="shared" si="45"/>
        <v>0</v>
      </c>
      <c r="G309" s="86">
        <f t="shared" si="42"/>
        <v>0</v>
      </c>
      <c r="H309" s="98">
        <f t="shared" si="43"/>
        <v>0</v>
      </c>
      <c r="J309" s="88">
        <f t="shared" si="46"/>
        <v>0</v>
      </c>
      <c r="K309" s="88">
        <f>IF(N308=0,0,IF(N308&lt;BondCalculator!$B$12+BondCalculator!$B$7,N308+L309,BondCalculator!$B$12+BondCalculator!$B$7))</f>
        <v>0</v>
      </c>
      <c r="L309" s="88">
        <f>J309*BondCalculator!$B$5/12</f>
        <v>0</v>
      </c>
      <c r="M309" s="88">
        <f t="shared" si="47"/>
        <v>0</v>
      </c>
      <c r="N309" s="88">
        <f t="shared" si="48"/>
        <v>0</v>
      </c>
      <c r="P309" s="88">
        <f t="shared" si="49"/>
        <v>0</v>
      </c>
      <c r="Q309" s="89">
        <f>-PV(BondCalculator!$B$9/12,B309,0,1,0)</f>
        <v>0.21736274124991184</v>
      </c>
      <c r="S309" s="90">
        <f t="shared" si="41"/>
        <v>0</v>
      </c>
    </row>
    <row r="310" spans="1:19" ht="15" customHeight="1">
      <c r="A310" s="85" t="s">
        <v>124</v>
      </c>
      <c r="B310" s="96">
        <v>307</v>
      </c>
      <c r="C310" s="86">
        <f t="shared" si="44"/>
        <v>0</v>
      </c>
      <c r="D310" s="86">
        <f>IF(G309=0,0,IF(G309&lt;BondCalculator!$B$12,G309+E310,BondCalculator!$B$12))</f>
        <v>0</v>
      </c>
      <c r="E310" s="86">
        <f>C310*BondCalculator!$B$5/12</f>
        <v>0</v>
      </c>
      <c r="F310" s="86">
        <f t="shared" si="45"/>
        <v>0</v>
      </c>
      <c r="G310" s="86">
        <f t="shared" si="42"/>
        <v>0</v>
      </c>
      <c r="H310" s="98">
        <f t="shared" si="43"/>
        <v>0</v>
      </c>
      <c r="J310" s="88">
        <f t="shared" si="46"/>
        <v>0</v>
      </c>
      <c r="K310" s="88">
        <f>IF(N309=0,0,IF(N309&lt;BondCalculator!$B$12+BondCalculator!$B$7,N309+L310,BondCalculator!$B$12+BondCalculator!$B$7))</f>
        <v>0</v>
      </c>
      <c r="L310" s="88">
        <f>J310*BondCalculator!$B$5/12</f>
        <v>0</v>
      </c>
      <c r="M310" s="88">
        <f t="shared" si="47"/>
        <v>0</v>
      </c>
      <c r="N310" s="88">
        <f t="shared" si="48"/>
        <v>0</v>
      </c>
      <c r="P310" s="88">
        <f t="shared" si="49"/>
        <v>0</v>
      </c>
      <c r="Q310" s="89">
        <f>-PV(BondCalculator!$B$9/12,B310,0,1,0)</f>
        <v>0.2162813345770267</v>
      </c>
      <c r="S310" s="90">
        <f t="shared" si="41"/>
        <v>0</v>
      </c>
    </row>
    <row r="311" spans="1:19" ht="15" customHeight="1">
      <c r="A311" s="85" t="s">
        <v>124</v>
      </c>
      <c r="B311" s="96">
        <v>308</v>
      </c>
      <c r="C311" s="86">
        <f t="shared" si="44"/>
        <v>0</v>
      </c>
      <c r="D311" s="86">
        <f>IF(G310=0,0,IF(G310&lt;BondCalculator!$B$12,G310+E311,BondCalculator!$B$12))</f>
        <v>0</v>
      </c>
      <c r="E311" s="86">
        <f>C311*BondCalculator!$B$5/12</f>
        <v>0</v>
      </c>
      <c r="F311" s="86">
        <f t="shared" si="45"/>
        <v>0</v>
      </c>
      <c r="G311" s="86">
        <f t="shared" si="42"/>
        <v>0</v>
      </c>
      <c r="H311" s="98">
        <f t="shared" si="43"/>
        <v>0</v>
      </c>
      <c r="J311" s="88">
        <f t="shared" si="46"/>
        <v>0</v>
      </c>
      <c r="K311" s="88">
        <f>IF(N310=0,0,IF(N310&lt;BondCalculator!$B$12+BondCalculator!$B$7,N310+L311,BondCalculator!$B$12+BondCalculator!$B$7))</f>
        <v>0</v>
      </c>
      <c r="L311" s="88">
        <f>J311*BondCalculator!$B$5/12</f>
        <v>0</v>
      </c>
      <c r="M311" s="88">
        <f t="shared" si="47"/>
        <v>0</v>
      </c>
      <c r="N311" s="88">
        <f t="shared" si="48"/>
        <v>0</v>
      </c>
      <c r="P311" s="88">
        <f t="shared" si="49"/>
        <v>0</v>
      </c>
      <c r="Q311" s="89">
        <f>-PV(BondCalculator!$B$9/12,B311,0,1,0)</f>
        <v>0.21520530803684254</v>
      </c>
      <c r="S311" s="90">
        <f t="shared" si="41"/>
        <v>0</v>
      </c>
    </row>
    <row r="312" spans="1:19" ht="15" customHeight="1">
      <c r="A312" s="85" t="s">
        <v>124</v>
      </c>
      <c r="B312" s="96">
        <v>309</v>
      </c>
      <c r="C312" s="86">
        <f t="shared" si="44"/>
        <v>0</v>
      </c>
      <c r="D312" s="86">
        <f>IF(G311=0,0,IF(G311&lt;BondCalculator!$B$12,G311+E312,BondCalculator!$B$12))</f>
        <v>0</v>
      </c>
      <c r="E312" s="86">
        <f>C312*BondCalculator!$B$5/12</f>
        <v>0</v>
      </c>
      <c r="F312" s="86">
        <f t="shared" si="45"/>
        <v>0</v>
      </c>
      <c r="G312" s="86">
        <f t="shared" si="42"/>
        <v>0</v>
      </c>
      <c r="H312" s="98">
        <f t="shared" si="43"/>
        <v>0</v>
      </c>
      <c r="J312" s="88">
        <f t="shared" si="46"/>
        <v>0</v>
      </c>
      <c r="K312" s="88">
        <f>IF(N311=0,0,IF(N311&lt;BondCalculator!$B$12+BondCalculator!$B$7,N311+L312,BondCalculator!$B$12+BondCalculator!$B$7))</f>
        <v>0</v>
      </c>
      <c r="L312" s="88">
        <f>J312*BondCalculator!$B$5/12</f>
        <v>0</v>
      </c>
      <c r="M312" s="88">
        <f t="shared" si="47"/>
        <v>0</v>
      </c>
      <c r="N312" s="88">
        <f t="shared" si="48"/>
        <v>0</v>
      </c>
      <c r="P312" s="88">
        <f t="shared" si="49"/>
        <v>0</v>
      </c>
      <c r="Q312" s="89">
        <f>-PV(BondCalculator!$B$9/12,B312,0,1,0)</f>
        <v>0.21413463486252993</v>
      </c>
      <c r="S312" s="90">
        <f t="shared" si="41"/>
        <v>0</v>
      </c>
    </row>
    <row r="313" spans="1:19" ht="15" customHeight="1">
      <c r="A313" s="85" t="s">
        <v>124</v>
      </c>
      <c r="B313" s="96">
        <v>310</v>
      </c>
      <c r="C313" s="86">
        <f t="shared" si="44"/>
        <v>0</v>
      </c>
      <c r="D313" s="86">
        <f>IF(G312=0,0,IF(G312&lt;BondCalculator!$B$12,G312+E313,BondCalculator!$B$12))</f>
        <v>0</v>
      </c>
      <c r="E313" s="86">
        <f>C313*BondCalculator!$B$5/12</f>
        <v>0</v>
      </c>
      <c r="F313" s="86">
        <f t="shared" si="45"/>
        <v>0</v>
      </c>
      <c r="G313" s="86">
        <f t="shared" si="42"/>
        <v>0</v>
      </c>
      <c r="H313" s="98">
        <f t="shared" si="43"/>
        <v>0</v>
      </c>
      <c r="J313" s="88">
        <f t="shared" si="46"/>
        <v>0</v>
      </c>
      <c r="K313" s="88">
        <f>IF(N312=0,0,IF(N312&lt;BondCalculator!$B$12+BondCalculator!$B$7,N312+L313,BondCalculator!$B$12+BondCalculator!$B$7))</f>
        <v>0</v>
      </c>
      <c r="L313" s="88">
        <f>J313*BondCalculator!$B$5/12</f>
        <v>0</v>
      </c>
      <c r="M313" s="88">
        <f t="shared" si="47"/>
        <v>0</v>
      </c>
      <c r="N313" s="88">
        <f t="shared" si="48"/>
        <v>0</v>
      </c>
      <c r="P313" s="88">
        <f t="shared" si="49"/>
        <v>0</v>
      </c>
      <c r="Q313" s="89">
        <f>-PV(BondCalculator!$B$9/12,B313,0,1,0)</f>
        <v>0.21306928842042783</v>
      </c>
      <c r="S313" s="90">
        <f t="shared" si="41"/>
        <v>0</v>
      </c>
    </row>
    <row r="314" spans="1:19" ht="15" customHeight="1">
      <c r="A314" s="85" t="s">
        <v>124</v>
      </c>
      <c r="B314" s="96">
        <v>311</v>
      </c>
      <c r="C314" s="86">
        <f t="shared" si="44"/>
        <v>0</v>
      </c>
      <c r="D314" s="86">
        <f>IF(G313=0,0,IF(G313&lt;BondCalculator!$B$12,G313+E314,BondCalculator!$B$12))</f>
        <v>0</v>
      </c>
      <c r="E314" s="86">
        <f>C314*BondCalculator!$B$5/12</f>
        <v>0</v>
      </c>
      <c r="F314" s="86">
        <f t="shared" si="45"/>
        <v>0</v>
      </c>
      <c r="G314" s="86">
        <f t="shared" si="42"/>
        <v>0</v>
      </c>
      <c r="H314" s="98">
        <f t="shared" si="43"/>
        <v>0</v>
      </c>
      <c r="J314" s="88">
        <f t="shared" si="46"/>
        <v>0</v>
      </c>
      <c r="K314" s="88">
        <f>IF(N313=0,0,IF(N313&lt;BondCalculator!$B$12+BondCalculator!$B$7,N313+L314,BondCalculator!$B$12+BondCalculator!$B$7))</f>
        <v>0</v>
      </c>
      <c r="L314" s="88">
        <f>J314*BondCalculator!$B$5/12</f>
        <v>0</v>
      </c>
      <c r="M314" s="88">
        <f t="shared" si="47"/>
        <v>0</v>
      </c>
      <c r="N314" s="88">
        <f t="shared" si="48"/>
        <v>0</v>
      </c>
      <c r="P314" s="88">
        <f t="shared" si="49"/>
        <v>0</v>
      </c>
      <c r="Q314" s="89">
        <f>-PV(BondCalculator!$B$9/12,B314,0,1,0)</f>
        <v>0.21200924220938097</v>
      </c>
      <c r="S314" s="90">
        <f t="shared" si="41"/>
        <v>0</v>
      </c>
    </row>
    <row r="315" spans="1:19" ht="15" customHeight="1">
      <c r="A315" s="85" t="s">
        <v>124</v>
      </c>
      <c r="B315" s="96">
        <v>312</v>
      </c>
      <c r="C315" s="86">
        <f t="shared" si="44"/>
        <v>0</v>
      </c>
      <c r="D315" s="86">
        <f>IF(G314=0,0,IF(G314&lt;BondCalculator!$B$12,G314+E315,BondCalculator!$B$12))</f>
        <v>0</v>
      </c>
      <c r="E315" s="86">
        <f>C315*BondCalculator!$B$5/12</f>
        <v>0</v>
      </c>
      <c r="F315" s="86">
        <f t="shared" si="45"/>
        <v>0</v>
      </c>
      <c r="G315" s="86">
        <f t="shared" si="42"/>
        <v>0</v>
      </c>
      <c r="H315" s="98">
        <f t="shared" si="43"/>
        <v>0</v>
      </c>
      <c r="J315" s="88">
        <f t="shared" si="46"/>
        <v>0</v>
      </c>
      <c r="K315" s="88">
        <f>IF(N314=0,0,IF(N314&lt;BondCalculator!$B$12+BondCalculator!$B$7,N314+L315,BondCalculator!$B$12+BondCalculator!$B$7))</f>
        <v>0</v>
      </c>
      <c r="L315" s="88">
        <f>J315*BondCalculator!$B$5/12</f>
        <v>0</v>
      </c>
      <c r="M315" s="88">
        <f t="shared" si="47"/>
        <v>0</v>
      </c>
      <c r="N315" s="88">
        <f t="shared" si="48"/>
        <v>0</v>
      </c>
      <c r="P315" s="88">
        <f t="shared" si="49"/>
        <v>0</v>
      </c>
      <c r="Q315" s="89">
        <f>-PV(BondCalculator!$B$9/12,B315,0,1,0)</f>
        <v>0.21095446986008054</v>
      </c>
      <c r="S315" s="90">
        <f t="shared" si="41"/>
        <v>0</v>
      </c>
    </row>
    <row r="316" spans="1:19" ht="15" customHeight="1">
      <c r="A316" s="85" t="s">
        <v>125</v>
      </c>
      <c r="B316" s="96">
        <v>313</v>
      </c>
      <c r="C316" s="86">
        <f t="shared" si="44"/>
        <v>0</v>
      </c>
      <c r="D316" s="86">
        <f>IF(G315=0,0,IF(G315&lt;BondCalculator!$B$12,G315+E316,BondCalculator!$B$12))</f>
        <v>0</v>
      </c>
      <c r="E316" s="86">
        <f>C316*BondCalculator!$B$5/12</f>
        <v>0</v>
      </c>
      <c r="F316" s="86">
        <f t="shared" si="45"/>
        <v>0</v>
      </c>
      <c r="G316" s="86">
        <f t="shared" si="42"/>
        <v>0</v>
      </c>
      <c r="H316" s="98">
        <f t="shared" si="43"/>
        <v>0</v>
      </c>
      <c r="J316" s="88">
        <f t="shared" si="46"/>
        <v>0</v>
      </c>
      <c r="K316" s="88">
        <f>IF(N315=0,0,IF(N315&lt;BondCalculator!$B$12+BondCalculator!$B$7,N315+L316,BondCalculator!$B$12+BondCalculator!$B$7))</f>
        <v>0</v>
      </c>
      <c r="L316" s="88">
        <f>J316*BondCalculator!$B$5/12</f>
        <v>0</v>
      </c>
      <c r="M316" s="88">
        <f t="shared" si="47"/>
        <v>0</v>
      </c>
      <c r="N316" s="88">
        <f t="shared" si="48"/>
        <v>0</v>
      </c>
      <c r="P316" s="88">
        <f t="shared" si="49"/>
        <v>0</v>
      </c>
      <c r="Q316" s="89">
        <f>-PV(BondCalculator!$B$9/12,B316,0,1,0)</f>
        <v>0.20990494513440855</v>
      </c>
      <c r="S316" s="90">
        <f t="shared" si="41"/>
        <v>0</v>
      </c>
    </row>
    <row r="317" spans="1:19" ht="15" customHeight="1">
      <c r="A317" s="85" t="s">
        <v>125</v>
      </c>
      <c r="B317" s="96">
        <v>314</v>
      </c>
      <c r="C317" s="86">
        <f t="shared" si="44"/>
        <v>0</v>
      </c>
      <c r="D317" s="86">
        <f>IF(G316=0,0,IF(G316&lt;BondCalculator!$B$12,G316+E317,BondCalculator!$B$12))</f>
        <v>0</v>
      </c>
      <c r="E317" s="86">
        <f>C317*BondCalculator!$B$5/12</f>
        <v>0</v>
      </c>
      <c r="F317" s="86">
        <f t="shared" si="45"/>
        <v>0</v>
      </c>
      <c r="G317" s="86">
        <f t="shared" si="42"/>
        <v>0</v>
      </c>
      <c r="H317" s="98">
        <f t="shared" si="43"/>
        <v>0</v>
      </c>
      <c r="J317" s="88">
        <f t="shared" si="46"/>
        <v>0</v>
      </c>
      <c r="K317" s="88">
        <f>IF(N316=0,0,IF(N316&lt;BondCalculator!$B$12+BondCalculator!$B$7,N316+L317,BondCalculator!$B$12+BondCalculator!$B$7))</f>
        <v>0</v>
      </c>
      <c r="L317" s="88">
        <f>J317*BondCalculator!$B$5/12</f>
        <v>0</v>
      </c>
      <c r="M317" s="88">
        <f t="shared" si="47"/>
        <v>0</v>
      </c>
      <c r="N317" s="88">
        <f t="shared" si="48"/>
        <v>0</v>
      </c>
      <c r="P317" s="88">
        <f t="shared" si="49"/>
        <v>0</v>
      </c>
      <c r="Q317" s="89">
        <f>-PV(BondCalculator!$B$9/12,B317,0,1,0)</f>
        <v>0.20886064192478465</v>
      </c>
      <c r="S317" s="90">
        <f t="shared" si="41"/>
        <v>0</v>
      </c>
    </row>
    <row r="318" spans="1:19" ht="15" customHeight="1">
      <c r="A318" s="85" t="s">
        <v>125</v>
      </c>
      <c r="B318" s="96">
        <v>315</v>
      </c>
      <c r="C318" s="86">
        <f t="shared" si="44"/>
        <v>0</v>
      </c>
      <c r="D318" s="86">
        <f>IF(G317=0,0,IF(G317&lt;BondCalculator!$B$12,G317+E318,BondCalculator!$B$12))</f>
        <v>0</v>
      </c>
      <c r="E318" s="86">
        <f>C318*BondCalculator!$B$5/12</f>
        <v>0</v>
      </c>
      <c r="F318" s="86">
        <f t="shared" si="45"/>
        <v>0</v>
      </c>
      <c r="G318" s="86">
        <f t="shared" si="42"/>
        <v>0</v>
      </c>
      <c r="H318" s="98">
        <f t="shared" si="43"/>
        <v>0</v>
      </c>
      <c r="J318" s="88">
        <f t="shared" si="46"/>
        <v>0</v>
      </c>
      <c r="K318" s="88">
        <f>IF(N317=0,0,IF(N317&lt;BondCalculator!$B$12+BondCalculator!$B$7,N317+L318,BondCalculator!$B$12+BondCalculator!$B$7))</f>
        <v>0</v>
      </c>
      <c r="L318" s="88">
        <f>J318*BondCalculator!$B$5/12</f>
        <v>0</v>
      </c>
      <c r="M318" s="88">
        <f t="shared" si="47"/>
        <v>0</v>
      </c>
      <c r="N318" s="88">
        <f t="shared" si="48"/>
        <v>0</v>
      </c>
      <c r="P318" s="88">
        <f t="shared" si="49"/>
        <v>0</v>
      </c>
      <c r="Q318" s="89">
        <f>-PV(BondCalculator!$B$9/12,B318,0,1,0)</f>
        <v>0.2078215342535171</v>
      </c>
      <c r="S318" s="90">
        <f t="shared" si="41"/>
        <v>0</v>
      </c>
    </row>
    <row r="319" spans="1:19" ht="15" customHeight="1">
      <c r="A319" s="85" t="s">
        <v>125</v>
      </c>
      <c r="B319" s="96">
        <v>316</v>
      </c>
      <c r="C319" s="86">
        <f t="shared" si="44"/>
        <v>0</v>
      </c>
      <c r="D319" s="86">
        <f>IF(G318=0,0,IF(G318&lt;BondCalculator!$B$12,G318+E319,BondCalculator!$B$12))</f>
        <v>0</v>
      </c>
      <c r="E319" s="86">
        <f>C319*BondCalculator!$B$5/12</f>
        <v>0</v>
      </c>
      <c r="F319" s="86">
        <f t="shared" si="45"/>
        <v>0</v>
      </c>
      <c r="G319" s="86">
        <f t="shared" si="42"/>
        <v>0</v>
      </c>
      <c r="H319" s="98">
        <f t="shared" si="43"/>
        <v>0</v>
      </c>
      <c r="J319" s="88">
        <f t="shared" si="46"/>
        <v>0</v>
      </c>
      <c r="K319" s="88">
        <f>IF(N318=0,0,IF(N318&lt;BondCalculator!$B$12+BondCalculator!$B$7,N318+L319,BondCalculator!$B$12+BondCalculator!$B$7))</f>
        <v>0</v>
      </c>
      <c r="L319" s="88">
        <f>J319*BondCalculator!$B$5/12</f>
        <v>0</v>
      </c>
      <c r="M319" s="88">
        <f t="shared" si="47"/>
        <v>0</v>
      </c>
      <c r="N319" s="88">
        <f t="shared" si="48"/>
        <v>0</v>
      </c>
      <c r="P319" s="88">
        <f t="shared" si="49"/>
        <v>0</v>
      </c>
      <c r="Q319" s="89">
        <f>-PV(BondCalculator!$B$9/12,B319,0,1,0)</f>
        <v>0.20678759627215637</v>
      </c>
      <c r="S319" s="90">
        <f t="shared" si="41"/>
        <v>0</v>
      </c>
    </row>
    <row r="320" spans="1:19" ht="15" customHeight="1">
      <c r="A320" s="85" t="s">
        <v>125</v>
      </c>
      <c r="B320" s="96">
        <v>317</v>
      </c>
      <c r="C320" s="86">
        <f t="shared" si="44"/>
        <v>0</v>
      </c>
      <c r="D320" s="86">
        <f>IF(G319=0,0,IF(G319&lt;BondCalculator!$B$12,G319+E320,BondCalculator!$B$12))</f>
        <v>0</v>
      </c>
      <c r="E320" s="86">
        <f>C320*BondCalculator!$B$5/12</f>
        <v>0</v>
      </c>
      <c r="F320" s="86">
        <f t="shared" si="45"/>
        <v>0</v>
      </c>
      <c r="G320" s="86">
        <f t="shared" si="42"/>
        <v>0</v>
      </c>
      <c r="H320" s="98">
        <f t="shared" si="43"/>
        <v>0</v>
      </c>
      <c r="J320" s="88">
        <f t="shared" si="46"/>
        <v>0</v>
      </c>
      <c r="K320" s="88">
        <f>IF(N319=0,0,IF(N319&lt;BondCalculator!$B$12+BondCalculator!$B$7,N319+L320,BondCalculator!$B$12+BondCalculator!$B$7))</f>
        <v>0</v>
      </c>
      <c r="L320" s="88">
        <f>J320*BondCalculator!$B$5/12</f>
        <v>0</v>
      </c>
      <c r="M320" s="88">
        <f t="shared" si="47"/>
        <v>0</v>
      </c>
      <c r="N320" s="88">
        <f t="shared" si="48"/>
        <v>0</v>
      </c>
      <c r="P320" s="88">
        <f t="shared" si="49"/>
        <v>0</v>
      </c>
      <c r="Q320" s="89">
        <f>-PV(BondCalculator!$B$9/12,B320,0,1,0)</f>
        <v>0.20575880226085214</v>
      </c>
      <c r="S320" s="90">
        <f t="shared" si="41"/>
        <v>0</v>
      </c>
    </row>
    <row r="321" spans="1:19" ht="15" customHeight="1">
      <c r="A321" s="85" t="s">
        <v>125</v>
      </c>
      <c r="B321" s="96">
        <v>318</v>
      </c>
      <c r="C321" s="86">
        <f t="shared" si="44"/>
        <v>0</v>
      </c>
      <c r="D321" s="86">
        <f>IF(G320=0,0,IF(G320&lt;BondCalculator!$B$12,G320+E321,BondCalculator!$B$12))</f>
        <v>0</v>
      </c>
      <c r="E321" s="86">
        <f>C321*BondCalculator!$B$5/12</f>
        <v>0</v>
      </c>
      <c r="F321" s="86">
        <f t="shared" si="45"/>
        <v>0</v>
      </c>
      <c r="G321" s="86">
        <f t="shared" si="42"/>
        <v>0</v>
      </c>
      <c r="H321" s="98">
        <f t="shared" si="43"/>
        <v>0</v>
      </c>
      <c r="J321" s="88">
        <f t="shared" si="46"/>
        <v>0</v>
      </c>
      <c r="K321" s="88">
        <f>IF(N320=0,0,IF(N320&lt;BondCalculator!$B$12+BondCalculator!$B$7,N320+L321,BondCalculator!$B$12+BondCalculator!$B$7))</f>
        <v>0</v>
      </c>
      <c r="L321" s="88">
        <f>J321*BondCalculator!$B$5/12</f>
        <v>0</v>
      </c>
      <c r="M321" s="88">
        <f t="shared" si="47"/>
        <v>0</v>
      </c>
      <c r="N321" s="88">
        <f t="shared" si="48"/>
        <v>0</v>
      </c>
      <c r="P321" s="88">
        <f t="shared" si="49"/>
        <v>0</v>
      </c>
      <c r="Q321" s="89">
        <f>-PV(BondCalculator!$B$9/12,B321,0,1,0)</f>
        <v>0.20473512662771357</v>
      </c>
      <c r="S321" s="90">
        <f t="shared" si="41"/>
        <v>0</v>
      </c>
    </row>
    <row r="322" spans="1:19" ht="15" customHeight="1">
      <c r="A322" s="85" t="s">
        <v>125</v>
      </c>
      <c r="B322" s="96">
        <v>319</v>
      </c>
      <c r="C322" s="86">
        <f t="shared" si="44"/>
        <v>0</v>
      </c>
      <c r="D322" s="86">
        <f>IF(G321=0,0,IF(G321&lt;BondCalculator!$B$12,G321+E322,BondCalculator!$B$12))</f>
        <v>0</v>
      </c>
      <c r="E322" s="86">
        <f>C322*BondCalculator!$B$5/12</f>
        <v>0</v>
      </c>
      <c r="F322" s="86">
        <f t="shared" si="45"/>
        <v>0</v>
      </c>
      <c r="G322" s="86">
        <f t="shared" si="42"/>
        <v>0</v>
      </c>
      <c r="H322" s="98">
        <f t="shared" si="43"/>
        <v>0</v>
      </c>
      <c r="J322" s="88">
        <f t="shared" si="46"/>
        <v>0</v>
      </c>
      <c r="K322" s="88">
        <f>IF(N321=0,0,IF(N321&lt;BondCalculator!$B$12+BondCalculator!$B$7,N321+L322,BondCalculator!$B$12+BondCalculator!$B$7))</f>
        <v>0</v>
      </c>
      <c r="L322" s="88">
        <f>J322*BondCalculator!$B$5/12</f>
        <v>0</v>
      </c>
      <c r="M322" s="88">
        <f t="shared" si="47"/>
        <v>0</v>
      </c>
      <c r="N322" s="88">
        <f t="shared" si="48"/>
        <v>0</v>
      </c>
      <c r="P322" s="88">
        <f t="shared" si="49"/>
        <v>0</v>
      </c>
      <c r="Q322" s="89">
        <f>-PV(BondCalculator!$B$9/12,B322,0,1,0)</f>
        <v>0.20371654390817276</v>
      </c>
      <c r="S322" s="90">
        <f t="shared" si="41"/>
        <v>0</v>
      </c>
    </row>
    <row r="323" spans="1:19" ht="15" customHeight="1">
      <c r="A323" s="85" t="s">
        <v>125</v>
      </c>
      <c r="B323" s="96">
        <v>320</v>
      </c>
      <c r="C323" s="86">
        <f t="shared" si="44"/>
        <v>0</v>
      </c>
      <c r="D323" s="86">
        <f>IF(G322=0,0,IF(G322&lt;BondCalculator!$B$12,G322+E323,BondCalculator!$B$12))</f>
        <v>0</v>
      </c>
      <c r="E323" s="86">
        <f>C323*BondCalculator!$B$5/12</f>
        <v>0</v>
      </c>
      <c r="F323" s="86">
        <f t="shared" si="45"/>
        <v>0</v>
      </c>
      <c r="G323" s="86">
        <f t="shared" si="42"/>
        <v>0</v>
      </c>
      <c r="H323" s="98">
        <f t="shared" si="43"/>
        <v>0</v>
      </c>
      <c r="J323" s="88">
        <f t="shared" si="46"/>
        <v>0</v>
      </c>
      <c r="K323" s="88">
        <f>IF(N322=0,0,IF(N322&lt;BondCalculator!$B$12+BondCalculator!$B$7,N322+L323,BondCalculator!$B$12+BondCalculator!$B$7))</f>
        <v>0</v>
      </c>
      <c r="L323" s="88">
        <f>J323*BondCalculator!$B$5/12</f>
        <v>0</v>
      </c>
      <c r="M323" s="88">
        <f t="shared" si="47"/>
        <v>0</v>
      </c>
      <c r="N323" s="88">
        <f t="shared" si="48"/>
        <v>0</v>
      </c>
      <c r="P323" s="88">
        <f t="shared" si="49"/>
        <v>0</v>
      </c>
      <c r="Q323" s="89">
        <f>-PV(BondCalculator!$B$9/12,B323,0,1,0)</f>
        <v>0.202703028764351</v>
      </c>
      <c r="S323" s="90">
        <f t="shared" si="41"/>
        <v>0</v>
      </c>
    </row>
    <row r="324" spans="1:19" ht="15" customHeight="1">
      <c r="A324" s="85" t="s">
        <v>125</v>
      </c>
      <c r="B324" s="96">
        <v>321</v>
      </c>
      <c r="C324" s="86">
        <f t="shared" si="44"/>
        <v>0</v>
      </c>
      <c r="D324" s="86">
        <f>IF(G323=0,0,IF(G323&lt;BondCalculator!$B$12,G323+E324,BondCalculator!$B$12))</f>
        <v>0</v>
      </c>
      <c r="E324" s="86">
        <f>C324*BondCalculator!$B$5/12</f>
        <v>0</v>
      </c>
      <c r="F324" s="86">
        <f t="shared" si="45"/>
        <v>0</v>
      </c>
      <c r="G324" s="86">
        <f t="shared" si="42"/>
        <v>0</v>
      </c>
      <c r="H324" s="98">
        <f t="shared" si="43"/>
        <v>0</v>
      </c>
      <c r="J324" s="88">
        <f t="shared" si="46"/>
        <v>0</v>
      </c>
      <c r="K324" s="88">
        <f>IF(N323=0,0,IF(N323&lt;BondCalculator!$B$12+BondCalculator!$B$7,N323+L324,BondCalculator!$B$12+BondCalculator!$B$7))</f>
        <v>0</v>
      </c>
      <c r="L324" s="88">
        <f>J324*BondCalculator!$B$5/12</f>
        <v>0</v>
      </c>
      <c r="M324" s="88">
        <f t="shared" si="47"/>
        <v>0</v>
      </c>
      <c r="N324" s="88">
        <f t="shared" si="48"/>
        <v>0</v>
      </c>
      <c r="P324" s="88">
        <f t="shared" si="49"/>
        <v>0</v>
      </c>
      <c r="Q324" s="89">
        <f>-PV(BondCalculator!$B$9/12,B324,0,1,0)</f>
        <v>0.2016945559844289</v>
      </c>
      <c r="S324" s="90">
        <f aca="true" t="shared" si="50" ref="S324:S363">P324*Q324</f>
        <v>0</v>
      </c>
    </row>
    <row r="325" spans="1:19" ht="15" customHeight="1">
      <c r="A325" s="85" t="s">
        <v>125</v>
      </c>
      <c r="B325" s="96">
        <v>322</v>
      </c>
      <c r="C325" s="86">
        <f t="shared" si="44"/>
        <v>0</v>
      </c>
      <c r="D325" s="86">
        <f>IF(G324=0,0,IF(G324&lt;BondCalculator!$B$12,G324+E325,BondCalculator!$B$12))</f>
        <v>0</v>
      </c>
      <c r="E325" s="86">
        <f>C325*BondCalculator!$B$5/12</f>
        <v>0</v>
      </c>
      <c r="F325" s="86">
        <f t="shared" si="45"/>
        <v>0</v>
      </c>
      <c r="G325" s="86">
        <f aca="true" t="shared" si="51" ref="G325:G363">IF(ROUND(C325-F325,0)=0,0,C325-F325)</f>
        <v>0</v>
      </c>
      <c r="H325" s="98">
        <f aca="true" t="shared" si="52" ref="H325:H363">G325/$C$4</f>
        <v>0</v>
      </c>
      <c r="J325" s="88">
        <f t="shared" si="46"/>
        <v>0</v>
      </c>
      <c r="K325" s="88">
        <f>IF(N324=0,0,IF(N324&lt;BondCalculator!$B$12+BondCalculator!$B$7,N324+L325,BondCalculator!$B$12+BondCalculator!$B$7))</f>
        <v>0</v>
      </c>
      <c r="L325" s="88">
        <f>J325*BondCalculator!$B$5/12</f>
        <v>0</v>
      </c>
      <c r="M325" s="88">
        <f t="shared" si="47"/>
        <v>0</v>
      </c>
      <c r="N325" s="88">
        <f t="shared" si="48"/>
        <v>0</v>
      </c>
      <c r="P325" s="88">
        <f t="shared" si="49"/>
        <v>0</v>
      </c>
      <c r="Q325" s="89">
        <f>-PV(BondCalculator!$B$9/12,B325,0,1,0)</f>
        <v>0.20069110048201882</v>
      </c>
      <c r="S325" s="90">
        <f t="shared" si="50"/>
        <v>0</v>
      </c>
    </row>
    <row r="326" spans="1:19" ht="15" customHeight="1">
      <c r="A326" s="85" t="s">
        <v>125</v>
      </c>
      <c r="B326" s="96">
        <v>323</v>
      </c>
      <c r="C326" s="86">
        <f aca="true" t="shared" si="53" ref="C326:C363">IF(ROUND(G325,0)=0,0,G325)</f>
        <v>0</v>
      </c>
      <c r="D326" s="86">
        <f>IF(G325=0,0,IF(G325&lt;BondCalculator!$B$12,G325+E326,BondCalculator!$B$12))</f>
        <v>0</v>
      </c>
      <c r="E326" s="86">
        <f>C326*BondCalculator!$B$5/12</f>
        <v>0</v>
      </c>
      <c r="F326" s="86">
        <f t="shared" si="45"/>
        <v>0</v>
      </c>
      <c r="G326" s="86">
        <f t="shared" si="51"/>
        <v>0</v>
      </c>
      <c r="H326" s="98">
        <f t="shared" si="52"/>
        <v>0</v>
      </c>
      <c r="J326" s="88">
        <f t="shared" si="46"/>
        <v>0</v>
      </c>
      <c r="K326" s="88">
        <f>IF(N325=0,0,IF(N325&lt;BondCalculator!$B$12+BondCalculator!$B$7,N325+L326,BondCalculator!$B$12+BondCalculator!$B$7))</f>
        <v>0</v>
      </c>
      <c r="L326" s="88">
        <f>J326*BondCalculator!$B$5/12</f>
        <v>0</v>
      </c>
      <c r="M326" s="88">
        <f t="shared" si="47"/>
        <v>0</v>
      </c>
      <c r="N326" s="88">
        <f t="shared" si="48"/>
        <v>0</v>
      </c>
      <c r="P326" s="88">
        <f t="shared" si="49"/>
        <v>0</v>
      </c>
      <c r="Q326" s="89">
        <f>-PV(BondCalculator!$B$9/12,B326,0,1,0)</f>
        <v>0.19969263729554115</v>
      </c>
      <c r="S326" s="90">
        <f t="shared" si="50"/>
        <v>0</v>
      </c>
    </row>
    <row r="327" spans="1:19" ht="15" customHeight="1">
      <c r="A327" s="85" t="s">
        <v>125</v>
      </c>
      <c r="B327" s="96">
        <v>324</v>
      </c>
      <c r="C327" s="86">
        <f t="shared" si="53"/>
        <v>0</v>
      </c>
      <c r="D327" s="86">
        <f>IF(G326=0,0,IF(G326&lt;BondCalculator!$B$12,G326+E327,BondCalculator!$B$12))</f>
        <v>0</v>
      </c>
      <c r="E327" s="86">
        <f>C327*BondCalculator!$B$5/12</f>
        <v>0</v>
      </c>
      <c r="F327" s="86">
        <f t="shared" si="45"/>
        <v>0</v>
      </c>
      <c r="G327" s="86">
        <f t="shared" si="51"/>
        <v>0</v>
      </c>
      <c r="H327" s="98">
        <f t="shared" si="52"/>
        <v>0</v>
      </c>
      <c r="J327" s="88">
        <f t="shared" si="46"/>
        <v>0</v>
      </c>
      <c r="K327" s="88">
        <f>IF(N326=0,0,IF(N326&lt;BondCalculator!$B$12+BondCalculator!$B$7,N326+L327,BondCalculator!$B$12+BondCalculator!$B$7))</f>
        <v>0</v>
      </c>
      <c r="L327" s="88">
        <f>J327*BondCalculator!$B$5/12</f>
        <v>0</v>
      </c>
      <c r="M327" s="88">
        <f t="shared" si="47"/>
        <v>0</v>
      </c>
      <c r="N327" s="88">
        <f t="shared" si="48"/>
        <v>0</v>
      </c>
      <c r="P327" s="88">
        <f t="shared" si="49"/>
        <v>0</v>
      </c>
      <c r="Q327" s="89">
        <f>-PV(BondCalculator!$B$9/12,B327,0,1,0)</f>
        <v>0.19869914158760318</v>
      </c>
      <c r="S327" s="90">
        <f t="shared" si="50"/>
        <v>0</v>
      </c>
    </row>
    <row r="328" spans="1:19" ht="15" customHeight="1">
      <c r="A328" s="85" t="s">
        <v>126</v>
      </c>
      <c r="B328" s="96">
        <v>325</v>
      </c>
      <c r="C328" s="86">
        <f t="shared" si="53"/>
        <v>0</v>
      </c>
      <c r="D328" s="86">
        <f>IF(G327=0,0,IF(G327&lt;BondCalculator!$B$12,G327+E328,BondCalculator!$B$12))</f>
        <v>0</v>
      </c>
      <c r="E328" s="86">
        <f>C328*BondCalculator!$B$5/12</f>
        <v>0</v>
      </c>
      <c r="F328" s="86">
        <f t="shared" si="45"/>
        <v>0</v>
      </c>
      <c r="G328" s="86">
        <f t="shared" si="51"/>
        <v>0</v>
      </c>
      <c r="H328" s="98">
        <f t="shared" si="52"/>
        <v>0</v>
      </c>
      <c r="J328" s="88">
        <f t="shared" si="46"/>
        <v>0</v>
      </c>
      <c r="K328" s="88">
        <f>IF(N327=0,0,IF(N327&lt;BondCalculator!$B$12+BondCalculator!$B$7,N327+L328,BondCalculator!$B$12+BondCalculator!$B$7))</f>
        <v>0</v>
      </c>
      <c r="L328" s="88">
        <f>J328*BondCalculator!$B$5/12</f>
        <v>0</v>
      </c>
      <c r="M328" s="88">
        <f t="shared" si="47"/>
        <v>0</v>
      </c>
      <c r="N328" s="88">
        <f t="shared" si="48"/>
        <v>0</v>
      </c>
      <c r="P328" s="88">
        <f t="shared" si="49"/>
        <v>0</v>
      </c>
      <c r="Q328" s="89">
        <f>-PV(BondCalculator!$B$9/12,B328,0,1,0)</f>
        <v>0.19771058864438132</v>
      </c>
      <c r="S328" s="90">
        <f t="shared" si="50"/>
        <v>0</v>
      </c>
    </row>
    <row r="329" spans="1:19" ht="15" customHeight="1">
      <c r="A329" s="85" t="s">
        <v>126</v>
      </c>
      <c r="B329" s="96">
        <v>326</v>
      </c>
      <c r="C329" s="86">
        <f t="shared" si="53"/>
        <v>0</v>
      </c>
      <c r="D329" s="86">
        <f>IF(G328=0,0,IF(G328&lt;BondCalculator!$B$12,G328+E329,BondCalculator!$B$12))</f>
        <v>0</v>
      </c>
      <c r="E329" s="86">
        <f>C329*BondCalculator!$B$5/12</f>
        <v>0</v>
      </c>
      <c r="F329" s="86">
        <f t="shared" si="45"/>
        <v>0</v>
      </c>
      <c r="G329" s="86">
        <f t="shared" si="51"/>
        <v>0</v>
      </c>
      <c r="H329" s="98">
        <f t="shared" si="52"/>
        <v>0</v>
      </c>
      <c r="J329" s="88">
        <f t="shared" si="46"/>
        <v>0</v>
      </c>
      <c r="K329" s="88">
        <f>IF(N328=0,0,IF(N328&lt;BondCalculator!$B$12+BondCalculator!$B$7,N328+L329,BondCalculator!$B$12+BondCalculator!$B$7))</f>
        <v>0</v>
      </c>
      <c r="L329" s="88">
        <f>J329*BondCalculator!$B$5/12</f>
        <v>0</v>
      </c>
      <c r="M329" s="88">
        <f t="shared" si="47"/>
        <v>0</v>
      </c>
      <c r="N329" s="88">
        <f t="shared" si="48"/>
        <v>0</v>
      </c>
      <c r="P329" s="88">
        <f t="shared" si="49"/>
        <v>0</v>
      </c>
      <c r="Q329" s="89">
        <f>-PV(BondCalculator!$B$9/12,B329,0,1,0)</f>
        <v>0.19672695387500633</v>
      </c>
      <c r="S329" s="90">
        <f t="shared" si="50"/>
        <v>0</v>
      </c>
    </row>
    <row r="330" spans="1:19" ht="15" customHeight="1">
      <c r="A330" s="85" t="s">
        <v>126</v>
      </c>
      <c r="B330" s="96">
        <v>327</v>
      </c>
      <c r="C330" s="86">
        <f t="shared" si="53"/>
        <v>0</v>
      </c>
      <c r="D330" s="86">
        <f>IF(G329=0,0,IF(G329&lt;BondCalculator!$B$12,G329+E330,BondCalculator!$B$12))</f>
        <v>0</v>
      </c>
      <c r="E330" s="86">
        <f>C330*BondCalculator!$B$5/12</f>
        <v>0</v>
      </c>
      <c r="F330" s="86">
        <f t="shared" si="45"/>
        <v>0</v>
      </c>
      <c r="G330" s="86">
        <f t="shared" si="51"/>
        <v>0</v>
      </c>
      <c r="H330" s="98">
        <f t="shared" si="52"/>
        <v>0</v>
      </c>
      <c r="J330" s="88">
        <f t="shared" si="46"/>
        <v>0</v>
      </c>
      <c r="K330" s="88">
        <f>IF(N329=0,0,IF(N329&lt;BondCalculator!$B$12+BondCalculator!$B$7,N329+L330,BondCalculator!$B$12+BondCalculator!$B$7))</f>
        <v>0</v>
      </c>
      <c r="L330" s="88">
        <f>J330*BondCalculator!$B$5/12</f>
        <v>0</v>
      </c>
      <c r="M330" s="88">
        <f t="shared" si="47"/>
        <v>0</v>
      </c>
      <c r="N330" s="88">
        <f t="shared" si="48"/>
        <v>0</v>
      </c>
      <c r="P330" s="88">
        <f t="shared" si="49"/>
        <v>0</v>
      </c>
      <c r="Q330" s="89">
        <f>-PV(BondCalculator!$B$9/12,B330,0,1,0)</f>
        <v>0.1957482128109516</v>
      </c>
      <c r="S330" s="90">
        <f t="shared" si="50"/>
        <v>0</v>
      </c>
    </row>
    <row r="331" spans="1:19" ht="15" customHeight="1">
      <c r="A331" s="85" t="s">
        <v>126</v>
      </c>
      <c r="B331" s="96">
        <v>328</v>
      </c>
      <c r="C331" s="86">
        <f t="shared" si="53"/>
        <v>0</v>
      </c>
      <c r="D331" s="86">
        <f>IF(G330=0,0,IF(G330&lt;BondCalculator!$B$12,G330+E331,BondCalculator!$B$12))</f>
        <v>0</v>
      </c>
      <c r="E331" s="86">
        <f>C331*BondCalculator!$B$5/12</f>
        <v>0</v>
      </c>
      <c r="F331" s="86">
        <f t="shared" si="45"/>
        <v>0</v>
      </c>
      <c r="G331" s="86">
        <f t="shared" si="51"/>
        <v>0</v>
      </c>
      <c r="H331" s="98">
        <f t="shared" si="52"/>
        <v>0</v>
      </c>
      <c r="J331" s="88">
        <f t="shared" si="46"/>
        <v>0</v>
      </c>
      <c r="K331" s="88">
        <f>IF(N330=0,0,IF(N330&lt;BondCalculator!$B$12+BondCalculator!$B$7,N330+L331,BondCalculator!$B$12+BondCalculator!$B$7))</f>
        <v>0</v>
      </c>
      <c r="L331" s="88">
        <f>J331*BondCalculator!$B$5/12</f>
        <v>0</v>
      </c>
      <c r="M331" s="88">
        <f t="shared" si="47"/>
        <v>0</v>
      </c>
      <c r="N331" s="88">
        <f t="shared" si="48"/>
        <v>0</v>
      </c>
      <c r="P331" s="88">
        <f t="shared" si="49"/>
        <v>0</v>
      </c>
      <c r="Q331" s="89">
        <f>-PV(BondCalculator!$B$9/12,B331,0,1,0)</f>
        <v>0.1947743411054245</v>
      </c>
      <c r="S331" s="90">
        <f t="shared" si="50"/>
        <v>0</v>
      </c>
    </row>
    <row r="332" spans="1:19" ht="15" customHeight="1">
      <c r="A332" s="85" t="s">
        <v>126</v>
      </c>
      <c r="B332" s="96">
        <v>329</v>
      </c>
      <c r="C332" s="86">
        <f t="shared" si="53"/>
        <v>0</v>
      </c>
      <c r="D332" s="86">
        <f>IF(G331=0,0,IF(G331&lt;BondCalculator!$B$12,G331+E332,BondCalculator!$B$12))</f>
        <v>0</v>
      </c>
      <c r="E332" s="86">
        <f>C332*BondCalculator!$B$5/12</f>
        <v>0</v>
      </c>
      <c r="F332" s="86">
        <f t="shared" si="45"/>
        <v>0</v>
      </c>
      <c r="G332" s="86">
        <f t="shared" si="51"/>
        <v>0</v>
      </c>
      <c r="H332" s="98">
        <f t="shared" si="52"/>
        <v>0</v>
      </c>
      <c r="J332" s="88">
        <f t="shared" si="46"/>
        <v>0</v>
      </c>
      <c r="K332" s="88">
        <f>IF(N331=0,0,IF(N331&lt;BondCalculator!$B$12+BondCalculator!$B$7,N331+L332,BondCalculator!$B$12+BondCalculator!$B$7))</f>
        <v>0</v>
      </c>
      <c r="L332" s="88">
        <f>J332*BondCalculator!$B$5/12</f>
        <v>0</v>
      </c>
      <c r="M332" s="88">
        <f t="shared" si="47"/>
        <v>0</v>
      </c>
      <c r="N332" s="88">
        <f t="shared" si="48"/>
        <v>0</v>
      </c>
      <c r="P332" s="88">
        <f t="shared" si="49"/>
        <v>0</v>
      </c>
      <c r="Q332" s="89">
        <f>-PV(BondCalculator!$B$9/12,B332,0,1,0)</f>
        <v>0.19380531453276068</v>
      </c>
      <c r="S332" s="90">
        <f t="shared" si="50"/>
        <v>0</v>
      </c>
    </row>
    <row r="333" spans="1:19" ht="15" customHeight="1">
      <c r="A333" s="85" t="s">
        <v>126</v>
      </c>
      <c r="B333" s="96">
        <v>330</v>
      </c>
      <c r="C333" s="86">
        <f t="shared" si="53"/>
        <v>0</v>
      </c>
      <c r="D333" s="86">
        <f>IF(G332=0,0,IF(G332&lt;BondCalculator!$B$12,G332+E333,BondCalculator!$B$12))</f>
        <v>0</v>
      </c>
      <c r="E333" s="86">
        <f>C333*BondCalculator!$B$5/12</f>
        <v>0</v>
      </c>
      <c r="F333" s="86">
        <f t="shared" si="45"/>
        <v>0</v>
      </c>
      <c r="G333" s="86">
        <f t="shared" si="51"/>
        <v>0</v>
      </c>
      <c r="H333" s="98">
        <f t="shared" si="52"/>
        <v>0</v>
      </c>
      <c r="J333" s="88">
        <f t="shared" si="46"/>
        <v>0</v>
      </c>
      <c r="K333" s="88">
        <f>IF(N332=0,0,IF(N332&lt;BondCalculator!$B$12+BondCalculator!$B$7,N332+L333,BondCalculator!$B$12+BondCalculator!$B$7))</f>
        <v>0</v>
      </c>
      <c r="L333" s="88">
        <f>J333*BondCalculator!$B$5/12</f>
        <v>0</v>
      </c>
      <c r="M333" s="88">
        <f t="shared" si="47"/>
        <v>0</v>
      </c>
      <c r="N333" s="88">
        <f t="shared" si="48"/>
        <v>0</v>
      </c>
      <c r="P333" s="88">
        <f t="shared" si="49"/>
        <v>0</v>
      </c>
      <c r="Q333" s="89">
        <f>-PV(BondCalculator!$B$9/12,B333,0,1,0)</f>
        <v>0.19284110898782164</v>
      </c>
      <c r="S333" s="90">
        <f t="shared" si="50"/>
        <v>0</v>
      </c>
    </row>
    <row r="334" spans="1:19" ht="15" customHeight="1">
      <c r="A334" s="85" t="s">
        <v>126</v>
      </c>
      <c r="B334" s="96">
        <v>331</v>
      </c>
      <c r="C334" s="86">
        <f t="shared" si="53"/>
        <v>0</v>
      </c>
      <c r="D334" s="86">
        <f>IF(G333=0,0,IF(G333&lt;BondCalculator!$B$12,G333+E334,BondCalculator!$B$12))</f>
        <v>0</v>
      </c>
      <c r="E334" s="86">
        <f>C334*BondCalculator!$B$5/12</f>
        <v>0</v>
      </c>
      <c r="F334" s="86">
        <f t="shared" si="45"/>
        <v>0</v>
      </c>
      <c r="G334" s="86">
        <f t="shared" si="51"/>
        <v>0</v>
      </c>
      <c r="H334" s="98">
        <f t="shared" si="52"/>
        <v>0</v>
      </c>
      <c r="J334" s="88">
        <f t="shared" si="46"/>
        <v>0</v>
      </c>
      <c r="K334" s="88">
        <f>IF(N333=0,0,IF(N333&lt;BondCalculator!$B$12+BondCalculator!$B$7,N333+L334,BondCalculator!$B$12+BondCalculator!$B$7))</f>
        <v>0</v>
      </c>
      <c r="L334" s="88">
        <f>J334*BondCalculator!$B$5/12</f>
        <v>0</v>
      </c>
      <c r="M334" s="88">
        <f t="shared" si="47"/>
        <v>0</v>
      </c>
      <c r="N334" s="88">
        <f t="shared" si="48"/>
        <v>0</v>
      </c>
      <c r="P334" s="88">
        <f t="shared" si="49"/>
        <v>0</v>
      </c>
      <c r="Q334" s="89">
        <f>-PV(BondCalculator!$B$9/12,B334,0,1,0)</f>
        <v>0.19188170048539469</v>
      </c>
      <c r="S334" s="90">
        <f t="shared" si="50"/>
        <v>0</v>
      </c>
    </row>
    <row r="335" spans="1:19" ht="15" customHeight="1">
      <c r="A335" s="85" t="s">
        <v>126</v>
      </c>
      <c r="B335" s="96">
        <v>332</v>
      </c>
      <c r="C335" s="86">
        <f t="shared" si="53"/>
        <v>0</v>
      </c>
      <c r="D335" s="86">
        <f>IF(G334=0,0,IF(G334&lt;BondCalculator!$B$12,G334+E335,BondCalculator!$B$12))</f>
        <v>0</v>
      </c>
      <c r="E335" s="86">
        <f>C335*BondCalculator!$B$5/12</f>
        <v>0</v>
      </c>
      <c r="F335" s="86">
        <f t="shared" si="45"/>
        <v>0</v>
      </c>
      <c r="G335" s="86">
        <f t="shared" si="51"/>
        <v>0</v>
      </c>
      <c r="H335" s="98">
        <f t="shared" si="52"/>
        <v>0</v>
      </c>
      <c r="J335" s="88">
        <f t="shared" si="46"/>
        <v>0</v>
      </c>
      <c r="K335" s="88">
        <f>IF(N334=0,0,IF(N334&lt;BondCalculator!$B$12+BondCalculator!$B$7,N334+L335,BondCalculator!$B$12+BondCalculator!$B$7))</f>
        <v>0</v>
      </c>
      <c r="L335" s="88">
        <f>J335*BondCalculator!$B$5/12</f>
        <v>0</v>
      </c>
      <c r="M335" s="88">
        <f t="shared" si="47"/>
        <v>0</v>
      </c>
      <c r="N335" s="88">
        <f t="shared" si="48"/>
        <v>0</v>
      </c>
      <c r="P335" s="88">
        <f t="shared" si="49"/>
        <v>0</v>
      </c>
      <c r="Q335" s="89">
        <f>-PV(BondCalculator!$B$9/12,B335,0,1,0)</f>
        <v>0.19092706515959676</v>
      </c>
      <c r="S335" s="90">
        <f t="shared" si="50"/>
        <v>0</v>
      </c>
    </row>
    <row r="336" spans="1:19" ht="15" customHeight="1">
      <c r="A336" s="85" t="s">
        <v>126</v>
      </c>
      <c r="B336" s="96">
        <v>333</v>
      </c>
      <c r="C336" s="86">
        <f t="shared" si="53"/>
        <v>0</v>
      </c>
      <c r="D336" s="86">
        <f>IF(G335=0,0,IF(G335&lt;BondCalculator!$B$12,G335+E336,BondCalculator!$B$12))</f>
        <v>0</v>
      </c>
      <c r="E336" s="86">
        <f>C336*BondCalculator!$B$5/12</f>
        <v>0</v>
      </c>
      <c r="F336" s="86">
        <f t="shared" si="45"/>
        <v>0</v>
      </c>
      <c r="G336" s="86">
        <f t="shared" si="51"/>
        <v>0</v>
      </c>
      <c r="H336" s="98">
        <f t="shared" si="52"/>
        <v>0</v>
      </c>
      <c r="J336" s="88">
        <f t="shared" si="46"/>
        <v>0</v>
      </c>
      <c r="K336" s="88">
        <f>IF(N335=0,0,IF(N335&lt;BondCalculator!$B$12+BondCalculator!$B$7,N335+L336,BondCalculator!$B$12+BondCalculator!$B$7))</f>
        <v>0</v>
      </c>
      <c r="L336" s="88">
        <f>J336*BondCalculator!$B$5/12</f>
        <v>0</v>
      </c>
      <c r="M336" s="88">
        <f t="shared" si="47"/>
        <v>0</v>
      </c>
      <c r="N336" s="88">
        <f t="shared" si="48"/>
        <v>0</v>
      </c>
      <c r="P336" s="88">
        <f t="shared" si="49"/>
        <v>0</v>
      </c>
      <c r="Q336" s="89">
        <f>-PV(BondCalculator!$B$9/12,B336,0,1,0)</f>
        <v>0.18997717926328037</v>
      </c>
      <c r="S336" s="90">
        <f t="shared" si="50"/>
        <v>0</v>
      </c>
    </row>
    <row r="337" spans="1:19" ht="15" customHeight="1">
      <c r="A337" s="85" t="s">
        <v>126</v>
      </c>
      <c r="B337" s="96">
        <v>334</v>
      </c>
      <c r="C337" s="86">
        <f t="shared" si="53"/>
        <v>0</v>
      </c>
      <c r="D337" s="86">
        <f>IF(G336=0,0,IF(G336&lt;BondCalculator!$B$12,G336+E337,BondCalculator!$B$12))</f>
        <v>0</v>
      </c>
      <c r="E337" s="86">
        <f>C337*BondCalculator!$B$5/12</f>
        <v>0</v>
      </c>
      <c r="F337" s="86">
        <f t="shared" si="45"/>
        <v>0</v>
      </c>
      <c r="G337" s="86">
        <f t="shared" si="51"/>
        <v>0</v>
      </c>
      <c r="H337" s="98">
        <f t="shared" si="52"/>
        <v>0</v>
      </c>
      <c r="J337" s="88">
        <f t="shared" si="46"/>
        <v>0</v>
      </c>
      <c r="K337" s="88">
        <f>IF(N336=0,0,IF(N336&lt;BondCalculator!$B$12+BondCalculator!$B$7,N336+L337,BondCalculator!$B$12+BondCalculator!$B$7))</f>
        <v>0</v>
      </c>
      <c r="L337" s="88">
        <f>J337*BondCalculator!$B$5/12</f>
        <v>0</v>
      </c>
      <c r="M337" s="88">
        <f t="shared" si="47"/>
        <v>0</v>
      </c>
      <c r="N337" s="88">
        <f t="shared" si="48"/>
        <v>0</v>
      </c>
      <c r="P337" s="88">
        <f t="shared" si="49"/>
        <v>0</v>
      </c>
      <c r="Q337" s="89">
        <f>-PV(BondCalculator!$B$9/12,B337,0,1,0)</f>
        <v>0.1890320191674432</v>
      </c>
      <c r="S337" s="90">
        <f t="shared" si="50"/>
        <v>0</v>
      </c>
    </row>
    <row r="338" spans="1:19" ht="15" customHeight="1">
      <c r="A338" s="85" t="s">
        <v>126</v>
      </c>
      <c r="B338" s="96">
        <v>335</v>
      </c>
      <c r="C338" s="86">
        <f t="shared" si="53"/>
        <v>0</v>
      </c>
      <c r="D338" s="86">
        <f>IF(G337=0,0,IF(G337&lt;BondCalculator!$B$12,G337+E338,BondCalculator!$B$12))</f>
        <v>0</v>
      </c>
      <c r="E338" s="86">
        <f>C338*BondCalculator!$B$5/12</f>
        <v>0</v>
      </c>
      <c r="F338" s="86">
        <f t="shared" si="45"/>
        <v>0</v>
      </c>
      <c r="G338" s="86">
        <f t="shared" si="51"/>
        <v>0</v>
      </c>
      <c r="H338" s="98">
        <f t="shared" si="52"/>
        <v>0</v>
      </c>
      <c r="J338" s="88">
        <f t="shared" si="46"/>
        <v>0</v>
      </c>
      <c r="K338" s="88">
        <f>IF(N337=0,0,IF(N337&lt;BondCalculator!$B$12+BondCalculator!$B$7,N337+L338,BondCalculator!$B$12+BondCalculator!$B$7))</f>
        <v>0</v>
      </c>
      <c r="L338" s="88">
        <f>J338*BondCalculator!$B$5/12</f>
        <v>0</v>
      </c>
      <c r="M338" s="88">
        <f t="shared" si="47"/>
        <v>0</v>
      </c>
      <c r="N338" s="88">
        <f t="shared" si="48"/>
        <v>0</v>
      </c>
      <c r="P338" s="88">
        <f t="shared" si="49"/>
        <v>0</v>
      </c>
      <c r="Q338" s="89">
        <f>-PV(BondCalculator!$B$9/12,B338,0,1,0)</f>
        <v>0.18809156136064004</v>
      </c>
      <c r="S338" s="90">
        <f t="shared" si="50"/>
        <v>0</v>
      </c>
    </row>
    <row r="339" spans="1:19" ht="15" customHeight="1">
      <c r="A339" s="85" t="s">
        <v>126</v>
      </c>
      <c r="B339" s="96">
        <v>336</v>
      </c>
      <c r="C339" s="86">
        <f t="shared" si="53"/>
        <v>0</v>
      </c>
      <c r="D339" s="86">
        <f>IF(G338=0,0,IF(G338&lt;BondCalculator!$B$12,G338+E339,BondCalculator!$B$12))</f>
        <v>0</v>
      </c>
      <c r="E339" s="86">
        <f>C339*BondCalculator!$B$5/12</f>
        <v>0</v>
      </c>
      <c r="F339" s="86">
        <f t="shared" si="45"/>
        <v>0</v>
      </c>
      <c r="G339" s="86">
        <f t="shared" si="51"/>
        <v>0</v>
      </c>
      <c r="H339" s="98">
        <f t="shared" si="52"/>
        <v>0</v>
      </c>
      <c r="J339" s="88">
        <f t="shared" si="46"/>
        <v>0</v>
      </c>
      <c r="K339" s="88">
        <f>IF(N338=0,0,IF(N338&lt;BondCalculator!$B$12+BondCalculator!$B$7,N338+L339,BondCalculator!$B$12+BondCalculator!$B$7))</f>
        <v>0</v>
      </c>
      <c r="L339" s="88">
        <f>J339*BondCalculator!$B$5/12</f>
        <v>0</v>
      </c>
      <c r="M339" s="88">
        <f t="shared" si="47"/>
        <v>0</v>
      </c>
      <c r="N339" s="88">
        <f t="shared" si="48"/>
        <v>0</v>
      </c>
      <c r="P339" s="88">
        <f t="shared" si="49"/>
        <v>0</v>
      </c>
      <c r="Q339" s="89">
        <f>-PV(BondCalculator!$B$9/12,B339,0,1,0)</f>
        <v>0.18715578244839806</v>
      </c>
      <c r="S339" s="90">
        <f t="shared" si="50"/>
        <v>0</v>
      </c>
    </row>
    <row r="340" spans="1:19" ht="15" customHeight="1">
      <c r="A340" s="85" t="s">
        <v>127</v>
      </c>
      <c r="B340" s="96">
        <v>337</v>
      </c>
      <c r="C340" s="86">
        <f t="shared" si="53"/>
        <v>0</v>
      </c>
      <c r="D340" s="86">
        <f>IF(G339=0,0,IF(G339&lt;BondCalculator!$B$12,G339+E340,BondCalculator!$B$12))</f>
        <v>0</v>
      </c>
      <c r="E340" s="86">
        <f>C340*BondCalculator!$B$5/12</f>
        <v>0</v>
      </c>
      <c r="F340" s="86">
        <f t="shared" si="45"/>
        <v>0</v>
      </c>
      <c r="G340" s="86">
        <f t="shared" si="51"/>
        <v>0</v>
      </c>
      <c r="H340" s="98">
        <f t="shared" si="52"/>
        <v>0</v>
      </c>
      <c r="J340" s="88">
        <f t="shared" si="46"/>
        <v>0</v>
      </c>
      <c r="K340" s="88">
        <f>IF(N339=0,0,IF(N339&lt;BondCalculator!$B$12+BondCalculator!$B$7,N339+L340,BondCalculator!$B$12+BondCalculator!$B$7))</f>
        <v>0</v>
      </c>
      <c r="L340" s="88">
        <f>J340*BondCalculator!$B$5/12</f>
        <v>0</v>
      </c>
      <c r="M340" s="88">
        <f t="shared" si="47"/>
        <v>0</v>
      </c>
      <c r="N340" s="88">
        <f t="shared" si="48"/>
        <v>0</v>
      </c>
      <c r="P340" s="88">
        <f t="shared" si="49"/>
        <v>0</v>
      </c>
      <c r="Q340" s="89">
        <f>-PV(BondCalculator!$B$9/12,B340,0,1,0)</f>
        <v>0.1862246591526349</v>
      </c>
      <c r="S340" s="90">
        <f t="shared" si="50"/>
        <v>0</v>
      </c>
    </row>
    <row r="341" spans="1:19" ht="15" customHeight="1">
      <c r="A341" s="85" t="s">
        <v>127</v>
      </c>
      <c r="B341" s="96">
        <v>338</v>
      </c>
      <c r="C341" s="86">
        <f t="shared" si="53"/>
        <v>0</v>
      </c>
      <c r="D341" s="86">
        <f>IF(G340=0,0,IF(G340&lt;BondCalculator!$B$12,G340+E341,BondCalculator!$B$12))</f>
        <v>0</v>
      </c>
      <c r="E341" s="86">
        <f>C341*BondCalculator!$B$5/12</f>
        <v>0</v>
      </c>
      <c r="F341" s="86">
        <f t="shared" si="45"/>
        <v>0</v>
      </c>
      <c r="G341" s="86">
        <f t="shared" si="51"/>
        <v>0</v>
      </c>
      <c r="H341" s="98">
        <f t="shared" si="52"/>
        <v>0</v>
      </c>
      <c r="J341" s="88">
        <f t="shared" si="46"/>
        <v>0</v>
      </c>
      <c r="K341" s="88">
        <f>IF(N340=0,0,IF(N340&lt;BondCalculator!$B$12+BondCalculator!$B$7,N340+L341,BondCalculator!$B$12+BondCalculator!$B$7))</f>
        <v>0</v>
      </c>
      <c r="L341" s="88">
        <f>J341*BondCalculator!$B$5/12</f>
        <v>0</v>
      </c>
      <c r="M341" s="88">
        <f t="shared" si="47"/>
        <v>0</v>
      </c>
      <c r="N341" s="88">
        <f t="shared" si="48"/>
        <v>0</v>
      </c>
      <c r="P341" s="88">
        <f t="shared" si="49"/>
        <v>0</v>
      </c>
      <c r="Q341" s="89">
        <f>-PV(BondCalculator!$B$9/12,B341,0,1,0)</f>
        <v>0.18529816831107954</v>
      </c>
      <c r="S341" s="90">
        <f t="shared" si="50"/>
        <v>0</v>
      </c>
    </row>
    <row r="342" spans="1:19" ht="15" customHeight="1">
      <c r="A342" s="85" t="s">
        <v>127</v>
      </c>
      <c r="B342" s="96">
        <v>339</v>
      </c>
      <c r="C342" s="86">
        <f t="shared" si="53"/>
        <v>0</v>
      </c>
      <c r="D342" s="86">
        <f>IF(G341=0,0,IF(G341&lt;BondCalculator!$B$12,G341+E342,BondCalculator!$B$12))</f>
        <v>0</v>
      </c>
      <c r="E342" s="86">
        <f>C342*BondCalculator!$B$5/12</f>
        <v>0</v>
      </c>
      <c r="F342" s="86">
        <f t="shared" si="45"/>
        <v>0</v>
      </c>
      <c r="G342" s="86">
        <f t="shared" si="51"/>
        <v>0</v>
      </c>
      <c r="H342" s="98">
        <f t="shared" si="52"/>
        <v>0</v>
      </c>
      <c r="J342" s="88">
        <f t="shared" si="46"/>
        <v>0</v>
      </c>
      <c r="K342" s="88">
        <f>IF(N341=0,0,IF(N341&lt;BondCalculator!$B$12+BondCalculator!$B$7,N341+L342,BondCalculator!$B$12+BondCalculator!$B$7))</f>
        <v>0</v>
      </c>
      <c r="L342" s="88">
        <f>J342*BondCalculator!$B$5/12</f>
        <v>0</v>
      </c>
      <c r="M342" s="88">
        <f t="shared" si="47"/>
        <v>0</v>
      </c>
      <c r="N342" s="88">
        <f t="shared" si="48"/>
        <v>0</v>
      </c>
      <c r="P342" s="88">
        <f t="shared" si="49"/>
        <v>0</v>
      </c>
      <c r="Q342" s="89">
        <f>-PV(BondCalculator!$B$9/12,B342,0,1,0)</f>
        <v>0.18437628687669608</v>
      </c>
      <c r="S342" s="90">
        <f t="shared" si="50"/>
        <v>0</v>
      </c>
    </row>
    <row r="343" spans="1:19" ht="15" customHeight="1">
      <c r="A343" s="85" t="s">
        <v>127</v>
      </c>
      <c r="B343" s="96">
        <v>340</v>
      </c>
      <c r="C343" s="86">
        <f t="shared" si="53"/>
        <v>0</v>
      </c>
      <c r="D343" s="86">
        <f>IF(G342=0,0,IF(G342&lt;BondCalculator!$B$12,G342+E343,BondCalculator!$B$12))</f>
        <v>0</v>
      </c>
      <c r="E343" s="86">
        <f>C343*BondCalculator!$B$5/12</f>
        <v>0</v>
      </c>
      <c r="F343" s="86">
        <f t="shared" si="45"/>
        <v>0</v>
      </c>
      <c r="G343" s="86">
        <f t="shared" si="51"/>
        <v>0</v>
      </c>
      <c r="H343" s="98">
        <f t="shared" si="52"/>
        <v>0</v>
      </c>
      <c r="J343" s="88">
        <f t="shared" si="46"/>
        <v>0</v>
      </c>
      <c r="K343" s="88">
        <f>IF(N342=0,0,IF(N342&lt;BondCalculator!$B$12+BondCalculator!$B$7,N342+L343,BondCalculator!$B$12+BondCalculator!$B$7))</f>
        <v>0</v>
      </c>
      <c r="L343" s="88">
        <f>J343*BondCalculator!$B$5/12</f>
        <v>0</v>
      </c>
      <c r="M343" s="88">
        <f t="shared" si="47"/>
        <v>0</v>
      </c>
      <c r="N343" s="88">
        <f t="shared" si="48"/>
        <v>0</v>
      </c>
      <c r="P343" s="88">
        <f t="shared" si="49"/>
        <v>0</v>
      </c>
      <c r="Q343" s="89">
        <f>-PV(BondCalculator!$B$9/12,B343,0,1,0)</f>
        <v>0.18345899191711054</v>
      </c>
      <c r="S343" s="90">
        <f t="shared" si="50"/>
        <v>0</v>
      </c>
    </row>
    <row r="344" spans="1:19" ht="15" customHeight="1">
      <c r="A344" s="85" t="s">
        <v>127</v>
      </c>
      <c r="B344" s="96">
        <v>341</v>
      </c>
      <c r="C344" s="86">
        <f t="shared" si="53"/>
        <v>0</v>
      </c>
      <c r="D344" s="86">
        <f>IF(G343=0,0,IF(G343&lt;BondCalculator!$B$12,G343+E344,BondCalculator!$B$12))</f>
        <v>0</v>
      </c>
      <c r="E344" s="86">
        <f>C344*BondCalculator!$B$5/12</f>
        <v>0</v>
      </c>
      <c r="F344" s="86">
        <f t="shared" si="45"/>
        <v>0</v>
      </c>
      <c r="G344" s="86">
        <f t="shared" si="51"/>
        <v>0</v>
      </c>
      <c r="H344" s="98">
        <f t="shared" si="52"/>
        <v>0</v>
      </c>
      <c r="J344" s="88">
        <f t="shared" si="46"/>
        <v>0</v>
      </c>
      <c r="K344" s="88">
        <f>IF(N343=0,0,IF(N343&lt;BondCalculator!$B$12+BondCalculator!$B$7,N343+L344,BondCalculator!$B$12+BondCalculator!$B$7))</f>
        <v>0</v>
      </c>
      <c r="L344" s="88">
        <f>J344*BondCalculator!$B$5/12</f>
        <v>0</v>
      </c>
      <c r="M344" s="88">
        <f t="shared" si="47"/>
        <v>0</v>
      </c>
      <c r="N344" s="88">
        <f t="shared" si="48"/>
        <v>0</v>
      </c>
      <c r="P344" s="88">
        <f t="shared" si="49"/>
        <v>0</v>
      </c>
      <c r="Q344" s="89">
        <f>-PV(BondCalculator!$B$9/12,B344,0,1,0)</f>
        <v>0.1825462606140404</v>
      </c>
      <c r="S344" s="90">
        <f t="shared" si="50"/>
        <v>0</v>
      </c>
    </row>
    <row r="345" spans="1:19" ht="15" customHeight="1">
      <c r="A345" s="85" t="s">
        <v>127</v>
      </c>
      <c r="B345" s="96">
        <v>342</v>
      </c>
      <c r="C345" s="86">
        <f t="shared" si="53"/>
        <v>0</v>
      </c>
      <c r="D345" s="86">
        <f>IF(G344=0,0,IF(G344&lt;BondCalculator!$B$12,G344+E345,BondCalculator!$B$12))</f>
        <v>0</v>
      </c>
      <c r="E345" s="86">
        <f>C345*BondCalculator!$B$5/12</f>
        <v>0</v>
      </c>
      <c r="F345" s="86">
        <f t="shared" si="45"/>
        <v>0</v>
      </c>
      <c r="G345" s="86">
        <f t="shared" si="51"/>
        <v>0</v>
      </c>
      <c r="H345" s="98">
        <f t="shared" si="52"/>
        <v>0</v>
      </c>
      <c r="J345" s="88">
        <f t="shared" si="46"/>
        <v>0</v>
      </c>
      <c r="K345" s="88">
        <f>IF(N344=0,0,IF(N344&lt;BondCalculator!$B$12+BondCalculator!$B$7,N344+L345,BondCalculator!$B$12+BondCalculator!$B$7))</f>
        <v>0</v>
      </c>
      <c r="L345" s="88">
        <f>J345*BondCalculator!$B$5/12</f>
        <v>0</v>
      </c>
      <c r="M345" s="88">
        <f t="shared" si="47"/>
        <v>0</v>
      </c>
      <c r="N345" s="88">
        <f t="shared" si="48"/>
        <v>0</v>
      </c>
      <c r="P345" s="88">
        <f t="shared" si="49"/>
        <v>0</v>
      </c>
      <c r="Q345" s="89">
        <f>-PV(BondCalculator!$B$9/12,B345,0,1,0)</f>
        <v>0.1816380702627268</v>
      </c>
      <c r="S345" s="90">
        <f t="shared" si="50"/>
        <v>0</v>
      </c>
    </row>
    <row r="346" spans="1:19" ht="15" customHeight="1">
      <c r="A346" s="85" t="s">
        <v>127</v>
      </c>
      <c r="B346" s="96">
        <v>343</v>
      </c>
      <c r="C346" s="86">
        <f t="shared" si="53"/>
        <v>0</v>
      </c>
      <c r="D346" s="86">
        <f>IF(G345=0,0,IF(G345&lt;BondCalculator!$B$12,G345+E346,BondCalculator!$B$12))</f>
        <v>0</v>
      </c>
      <c r="E346" s="86">
        <f>C346*BondCalculator!$B$5/12</f>
        <v>0</v>
      </c>
      <c r="F346" s="86">
        <f t="shared" si="45"/>
        <v>0</v>
      </c>
      <c r="G346" s="86">
        <f t="shared" si="51"/>
        <v>0</v>
      </c>
      <c r="H346" s="98">
        <f t="shared" si="52"/>
        <v>0</v>
      </c>
      <c r="J346" s="88">
        <f t="shared" si="46"/>
        <v>0</v>
      </c>
      <c r="K346" s="88">
        <f>IF(N345=0,0,IF(N345&lt;BondCalculator!$B$12+BondCalculator!$B$7,N345+L346,BondCalculator!$B$12+BondCalculator!$B$7))</f>
        <v>0</v>
      </c>
      <c r="L346" s="88">
        <f>J346*BondCalculator!$B$5/12</f>
        <v>0</v>
      </c>
      <c r="M346" s="88">
        <f t="shared" si="47"/>
        <v>0</v>
      </c>
      <c r="N346" s="88">
        <f t="shared" si="48"/>
        <v>0</v>
      </c>
      <c r="P346" s="88">
        <f t="shared" si="49"/>
        <v>0</v>
      </c>
      <c r="Q346" s="89">
        <f>-PV(BondCalculator!$B$9/12,B346,0,1,0)</f>
        <v>0.18073439827136997</v>
      </c>
      <c r="S346" s="90">
        <f t="shared" si="50"/>
        <v>0</v>
      </c>
    </row>
    <row r="347" spans="1:19" ht="15" customHeight="1">
      <c r="A347" s="85" t="s">
        <v>127</v>
      </c>
      <c r="B347" s="96">
        <v>344</v>
      </c>
      <c r="C347" s="86">
        <f t="shared" si="53"/>
        <v>0</v>
      </c>
      <c r="D347" s="86">
        <f>IF(G346=0,0,IF(G346&lt;BondCalculator!$B$12,G346+E347,BondCalculator!$B$12))</f>
        <v>0</v>
      </c>
      <c r="E347" s="86">
        <f>C347*BondCalculator!$B$5/12</f>
        <v>0</v>
      </c>
      <c r="F347" s="86">
        <f t="shared" si="45"/>
        <v>0</v>
      </c>
      <c r="G347" s="86">
        <f t="shared" si="51"/>
        <v>0</v>
      </c>
      <c r="H347" s="98">
        <f t="shared" si="52"/>
        <v>0</v>
      </c>
      <c r="J347" s="88">
        <f t="shared" si="46"/>
        <v>0</v>
      </c>
      <c r="K347" s="88">
        <f>IF(N346=0,0,IF(N346&lt;BondCalculator!$B$12+BondCalculator!$B$7,N346+L347,BondCalculator!$B$12+BondCalculator!$B$7))</f>
        <v>0</v>
      </c>
      <c r="L347" s="88">
        <f>J347*BondCalculator!$B$5/12</f>
        <v>0</v>
      </c>
      <c r="M347" s="88">
        <f t="shared" si="47"/>
        <v>0</v>
      </c>
      <c r="N347" s="88">
        <f t="shared" si="48"/>
        <v>0</v>
      </c>
      <c r="P347" s="88">
        <f t="shared" si="49"/>
        <v>0</v>
      </c>
      <c r="Q347" s="89">
        <f>-PV(BondCalculator!$B$9/12,B347,0,1,0)</f>
        <v>0.17983522216056713</v>
      </c>
      <c r="S347" s="90">
        <f t="shared" si="50"/>
        <v>0</v>
      </c>
    </row>
    <row r="348" spans="1:19" ht="15" customHeight="1">
      <c r="A348" s="85" t="s">
        <v>127</v>
      </c>
      <c r="B348" s="96">
        <v>345</v>
      </c>
      <c r="C348" s="86">
        <f t="shared" si="53"/>
        <v>0</v>
      </c>
      <c r="D348" s="86">
        <f>IF(G347=0,0,IF(G347&lt;BondCalculator!$B$12,G347+E348,BondCalculator!$B$12))</f>
        <v>0</v>
      </c>
      <c r="E348" s="86">
        <f>C348*BondCalculator!$B$5/12</f>
        <v>0</v>
      </c>
      <c r="F348" s="86">
        <f t="shared" si="45"/>
        <v>0</v>
      </c>
      <c r="G348" s="86">
        <f t="shared" si="51"/>
        <v>0</v>
      </c>
      <c r="H348" s="98">
        <f t="shared" si="52"/>
        <v>0</v>
      </c>
      <c r="J348" s="88">
        <f t="shared" si="46"/>
        <v>0</v>
      </c>
      <c r="K348" s="88">
        <f>IF(N347=0,0,IF(N347&lt;BondCalculator!$B$12+BondCalculator!$B$7,N347+L348,BondCalculator!$B$12+BondCalculator!$B$7))</f>
        <v>0</v>
      </c>
      <c r="L348" s="88">
        <f>J348*BondCalculator!$B$5/12</f>
        <v>0</v>
      </c>
      <c r="M348" s="88">
        <f t="shared" si="47"/>
        <v>0</v>
      </c>
      <c r="N348" s="88">
        <f t="shared" si="48"/>
        <v>0</v>
      </c>
      <c r="P348" s="88">
        <f t="shared" si="49"/>
        <v>0</v>
      </c>
      <c r="Q348" s="89">
        <f>-PV(BondCalculator!$B$9/12,B348,0,1,0)</f>
        <v>0.1789405195627534</v>
      </c>
      <c r="S348" s="90">
        <f t="shared" si="50"/>
        <v>0</v>
      </c>
    </row>
    <row r="349" spans="1:19" ht="15" customHeight="1">
      <c r="A349" s="85" t="s">
        <v>127</v>
      </c>
      <c r="B349" s="96">
        <v>346</v>
      </c>
      <c r="C349" s="86">
        <f t="shared" si="53"/>
        <v>0</v>
      </c>
      <c r="D349" s="86">
        <f>IF(G348=0,0,IF(G348&lt;BondCalculator!$B$12,G348+E349,BondCalculator!$B$12))</f>
        <v>0</v>
      </c>
      <c r="E349" s="86">
        <f>C349*BondCalculator!$B$5/12</f>
        <v>0</v>
      </c>
      <c r="F349" s="86">
        <f t="shared" si="45"/>
        <v>0</v>
      </c>
      <c r="G349" s="86">
        <f t="shared" si="51"/>
        <v>0</v>
      </c>
      <c r="H349" s="98">
        <f t="shared" si="52"/>
        <v>0</v>
      </c>
      <c r="J349" s="88">
        <f t="shared" si="46"/>
        <v>0</v>
      </c>
      <c r="K349" s="88">
        <f>IF(N348=0,0,IF(N348&lt;BondCalculator!$B$12+BondCalculator!$B$7,N348+L349,BondCalculator!$B$12+BondCalculator!$B$7))</f>
        <v>0</v>
      </c>
      <c r="L349" s="88">
        <f>J349*BondCalculator!$B$5/12</f>
        <v>0</v>
      </c>
      <c r="M349" s="88">
        <f t="shared" si="47"/>
        <v>0</v>
      </c>
      <c r="N349" s="88">
        <f t="shared" si="48"/>
        <v>0</v>
      </c>
      <c r="P349" s="88">
        <f t="shared" si="49"/>
        <v>0</v>
      </c>
      <c r="Q349" s="89">
        <f>-PV(BondCalculator!$B$9/12,B349,0,1,0)</f>
        <v>0.17805026822164519</v>
      </c>
      <c r="S349" s="90">
        <f t="shared" si="50"/>
        <v>0</v>
      </c>
    </row>
    <row r="350" spans="1:19" ht="15" customHeight="1">
      <c r="A350" s="85" t="s">
        <v>127</v>
      </c>
      <c r="B350" s="96">
        <v>347</v>
      </c>
      <c r="C350" s="86">
        <f t="shared" si="53"/>
        <v>0</v>
      </c>
      <c r="D350" s="86">
        <f>IF(G349=0,0,IF(G349&lt;BondCalculator!$B$12,G349+E350,BondCalculator!$B$12))</f>
        <v>0</v>
      </c>
      <c r="E350" s="86">
        <f>C350*BondCalculator!$B$5/12</f>
        <v>0</v>
      </c>
      <c r="F350" s="86">
        <f t="shared" si="45"/>
        <v>0</v>
      </c>
      <c r="G350" s="86">
        <f t="shared" si="51"/>
        <v>0</v>
      </c>
      <c r="H350" s="98">
        <f t="shared" si="52"/>
        <v>0</v>
      </c>
      <c r="J350" s="88">
        <f t="shared" si="46"/>
        <v>0</v>
      </c>
      <c r="K350" s="88">
        <f>IF(N349=0,0,IF(N349&lt;BondCalculator!$B$12+BondCalculator!$B$7,N349+L350,BondCalculator!$B$12+BondCalculator!$B$7))</f>
        <v>0</v>
      </c>
      <c r="L350" s="88">
        <f>J350*BondCalculator!$B$5/12</f>
        <v>0</v>
      </c>
      <c r="M350" s="88">
        <f t="shared" si="47"/>
        <v>0</v>
      </c>
      <c r="N350" s="88">
        <f t="shared" si="48"/>
        <v>0</v>
      </c>
      <c r="P350" s="88">
        <f t="shared" si="49"/>
        <v>0</v>
      </c>
      <c r="Q350" s="89">
        <f>-PV(BondCalculator!$B$9/12,B350,0,1,0)</f>
        <v>0.1771644459916868</v>
      </c>
      <c r="S350" s="90">
        <f t="shared" si="50"/>
        <v>0</v>
      </c>
    </row>
    <row r="351" spans="1:19" ht="15" customHeight="1">
      <c r="A351" s="85" t="s">
        <v>127</v>
      </c>
      <c r="B351" s="96">
        <v>348</v>
      </c>
      <c r="C351" s="86">
        <f t="shared" si="53"/>
        <v>0</v>
      </c>
      <c r="D351" s="86">
        <f>IF(G350=0,0,IF(G350&lt;BondCalculator!$B$12,G350+E351,BondCalculator!$B$12))</f>
        <v>0</v>
      </c>
      <c r="E351" s="86">
        <f>C351*BondCalculator!$B$5/12</f>
        <v>0</v>
      </c>
      <c r="F351" s="86">
        <f t="shared" si="45"/>
        <v>0</v>
      </c>
      <c r="G351" s="86">
        <f t="shared" si="51"/>
        <v>0</v>
      </c>
      <c r="H351" s="98">
        <f t="shared" si="52"/>
        <v>0</v>
      </c>
      <c r="J351" s="88">
        <f t="shared" si="46"/>
        <v>0</v>
      </c>
      <c r="K351" s="88">
        <f>IF(N350=0,0,IF(N350&lt;BondCalculator!$B$12+BondCalculator!$B$7,N350+L351,BondCalculator!$B$12+BondCalculator!$B$7))</f>
        <v>0</v>
      </c>
      <c r="L351" s="88">
        <f>J351*BondCalculator!$B$5/12</f>
        <v>0</v>
      </c>
      <c r="M351" s="88">
        <f t="shared" si="47"/>
        <v>0</v>
      </c>
      <c r="N351" s="88">
        <f t="shared" si="48"/>
        <v>0</v>
      </c>
      <c r="P351" s="88">
        <f t="shared" si="49"/>
        <v>0</v>
      </c>
      <c r="Q351" s="89">
        <f>-PV(BondCalculator!$B$9/12,B351,0,1,0)</f>
        <v>0.17628303083749933</v>
      </c>
      <c r="S351" s="90">
        <f t="shared" si="50"/>
        <v>0</v>
      </c>
    </row>
    <row r="352" spans="1:19" ht="15" customHeight="1">
      <c r="A352" s="85" t="s">
        <v>128</v>
      </c>
      <c r="B352" s="96">
        <v>349</v>
      </c>
      <c r="C352" s="86">
        <f t="shared" si="53"/>
        <v>0</v>
      </c>
      <c r="D352" s="86">
        <f>IF(G351=0,0,IF(G351&lt;BondCalculator!$B$12,G351+E352,BondCalculator!$B$12))</f>
        <v>0</v>
      </c>
      <c r="E352" s="86">
        <f>C352*BondCalculator!$B$5/12</f>
        <v>0</v>
      </c>
      <c r="F352" s="86">
        <f t="shared" si="45"/>
        <v>0</v>
      </c>
      <c r="G352" s="86">
        <f t="shared" si="51"/>
        <v>0</v>
      </c>
      <c r="H352" s="98">
        <f t="shared" si="52"/>
        <v>0</v>
      </c>
      <c r="J352" s="88">
        <f t="shared" si="46"/>
        <v>0</v>
      </c>
      <c r="K352" s="88">
        <f>IF(N351=0,0,IF(N351&lt;BondCalculator!$B$12+BondCalculator!$B$7,N351+L352,BondCalculator!$B$12+BondCalculator!$B$7))</f>
        <v>0</v>
      </c>
      <c r="L352" s="88">
        <f>J352*BondCalculator!$B$5/12</f>
        <v>0</v>
      </c>
      <c r="M352" s="88">
        <f t="shared" si="47"/>
        <v>0</v>
      </c>
      <c r="N352" s="88">
        <f t="shared" si="48"/>
        <v>0</v>
      </c>
      <c r="P352" s="88">
        <f t="shared" si="49"/>
        <v>0</v>
      </c>
      <c r="Q352" s="89">
        <f>-PV(BondCalculator!$B$9/12,B352,0,1,0)</f>
        <v>0.1754060008333327</v>
      </c>
      <c r="S352" s="90">
        <f t="shared" si="50"/>
        <v>0</v>
      </c>
    </row>
    <row r="353" spans="1:19" ht="15" customHeight="1">
      <c r="A353" s="85" t="s">
        <v>128</v>
      </c>
      <c r="B353" s="96">
        <v>350</v>
      </c>
      <c r="C353" s="86">
        <f t="shared" si="53"/>
        <v>0</v>
      </c>
      <c r="D353" s="86">
        <f>IF(G352=0,0,IF(G352&lt;BondCalculator!$B$12,G352+E353,BondCalculator!$B$12))</f>
        <v>0</v>
      </c>
      <c r="E353" s="86">
        <f>C353*BondCalculator!$B$5/12</f>
        <v>0</v>
      </c>
      <c r="F353" s="86">
        <f t="shared" si="45"/>
        <v>0</v>
      </c>
      <c r="G353" s="86">
        <f t="shared" si="51"/>
        <v>0</v>
      </c>
      <c r="H353" s="98">
        <f t="shared" si="52"/>
        <v>0</v>
      </c>
      <c r="J353" s="88">
        <f t="shared" si="46"/>
        <v>0</v>
      </c>
      <c r="K353" s="88">
        <f>IF(N352=0,0,IF(N352&lt;BondCalculator!$B$12+BondCalculator!$B$7,N352+L353,BondCalculator!$B$12+BondCalculator!$B$7))</f>
        <v>0</v>
      </c>
      <c r="L353" s="88">
        <f>J353*BondCalculator!$B$5/12</f>
        <v>0</v>
      </c>
      <c r="M353" s="88">
        <f t="shared" si="47"/>
        <v>0</v>
      </c>
      <c r="N353" s="88">
        <f t="shared" si="48"/>
        <v>0</v>
      </c>
      <c r="P353" s="88">
        <f t="shared" si="49"/>
        <v>0</v>
      </c>
      <c r="Q353" s="89">
        <f>-PV(BondCalculator!$B$9/12,B353,0,1,0)</f>
        <v>0.17453333416252012</v>
      </c>
      <c r="S353" s="90">
        <f t="shared" si="50"/>
        <v>0</v>
      </c>
    </row>
    <row r="354" spans="1:19" ht="15" customHeight="1">
      <c r="A354" s="85" t="s">
        <v>128</v>
      </c>
      <c r="B354" s="96">
        <v>351</v>
      </c>
      <c r="C354" s="86">
        <f t="shared" si="53"/>
        <v>0</v>
      </c>
      <c r="D354" s="86">
        <f>IF(G353=0,0,IF(G353&lt;BondCalculator!$B$12,G353+E354,BondCalculator!$B$12))</f>
        <v>0</v>
      </c>
      <c r="E354" s="86">
        <f>C354*BondCalculator!$B$5/12</f>
        <v>0</v>
      </c>
      <c r="F354" s="86">
        <f t="shared" si="45"/>
        <v>0</v>
      </c>
      <c r="G354" s="86">
        <f t="shared" si="51"/>
        <v>0</v>
      </c>
      <c r="H354" s="98">
        <f t="shared" si="52"/>
        <v>0</v>
      </c>
      <c r="J354" s="88">
        <f t="shared" si="46"/>
        <v>0</v>
      </c>
      <c r="K354" s="88">
        <f>IF(N353=0,0,IF(N353&lt;BondCalculator!$B$12+BondCalculator!$B$7,N353+L354,BondCalculator!$B$12+BondCalculator!$B$7))</f>
        <v>0</v>
      </c>
      <c r="L354" s="88">
        <f>J354*BondCalculator!$B$5/12</f>
        <v>0</v>
      </c>
      <c r="M354" s="88">
        <f t="shared" si="47"/>
        <v>0</v>
      </c>
      <c r="N354" s="88">
        <f t="shared" si="48"/>
        <v>0</v>
      </c>
      <c r="P354" s="88">
        <f t="shared" si="49"/>
        <v>0</v>
      </c>
      <c r="Q354" s="89">
        <f>-PV(BondCalculator!$B$9/12,B354,0,1,0)</f>
        <v>0.1736650091169355</v>
      </c>
      <c r="S354" s="90">
        <f t="shared" si="50"/>
        <v>0</v>
      </c>
    </row>
    <row r="355" spans="1:19" ht="15" customHeight="1">
      <c r="A355" s="85" t="s">
        <v>128</v>
      </c>
      <c r="B355" s="96">
        <v>352</v>
      </c>
      <c r="C355" s="86">
        <f t="shared" si="53"/>
        <v>0</v>
      </c>
      <c r="D355" s="86">
        <f>IF(G354=0,0,IF(G354&lt;BondCalculator!$B$12,G354+E355,BondCalculator!$B$12))</f>
        <v>0</v>
      </c>
      <c r="E355" s="86">
        <f>C355*BondCalculator!$B$5/12</f>
        <v>0</v>
      </c>
      <c r="F355" s="86">
        <f t="shared" si="45"/>
        <v>0</v>
      </c>
      <c r="G355" s="86">
        <f t="shared" si="51"/>
        <v>0</v>
      </c>
      <c r="H355" s="98">
        <f t="shared" si="52"/>
        <v>0</v>
      </c>
      <c r="J355" s="88">
        <f t="shared" si="46"/>
        <v>0</v>
      </c>
      <c r="K355" s="88">
        <f>IF(N354=0,0,IF(N354&lt;BondCalculator!$B$12+BondCalculator!$B$7,N354+L355,BondCalculator!$B$12+BondCalculator!$B$7))</f>
        <v>0</v>
      </c>
      <c r="L355" s="88">
        <f>J355*BondCalculator!$B$5/12</f>
        <v>0</v>
      </c>
      <c r="M355" s="88">
        <f t="shared" si="47"/>
        <v>0</v>
      </c>
      <c r="N355" s="88">
        <f t="shared" si="48"/>
        <v>0</v>
      </c>
      <c r="P355" s="88">
        <f t="shared" si="49"/>
        <v>0</v>
      </c>
      <c r="Q355" s="89">
        <f>-PV(BondCalculator!$B$9/12,B355,0,1,0)</f>
        <v>0.17280100409645324</v>
      </c>
      <c r="S355" s="90">
        <f t="shared" si="50"/>
        <v>0</v>
      </c>
    </row>
    <row r="356" spans="1:19" ht="15" customHeight="1">
      <c r="A356" s="85" t="s">
        <v>128</v>
      </c>
      <c r="B356" s="96">
        <v>353</v>
      </c>
      <c r="C356" s="86">
        <f t="shared" si="53"/>
        <v>0</v>
      </c>
      <c r="D356" s="86">
        <f>IF(G355=0,0,IF(G355&lt;BondCalculator!$B$12,G355+E356,BondCalculator!$B$12))</f>
        <v>0</v>
      </c>
      <c r="E356" s="86">
        <f>C356*BondCalculator!$B$5/12</f>
        <v>0</v>
      </c>
      <c r="F356" s="86">
        <f t="shared" si="45"/>
        <v>0</v>
      </c>
      <c r="G356" s="86">
        <f t="shared" si="51"/>
        <v>0</v>
      </c>
      <c r="H356" s="98">
        <f t="shared" si="52"/>
        <v>0</v>
      </c>
      <c r="J356" s="88">
        <f t="shared" si="46"/>
        <v>0</v>
      </c>
      <c r="K356" s="88">
        <f>IF(N355=0,0,IF(N355&lt;BondCalculator!$B$12+BondCalculator!$B$7,N355+L356,BondCalculator!$B$12+BondCalculator!$B$7))</f>
        <v>0</v>
      </c>
      <c r="L356" s="88">
        <f>J356*BondCalculator!$B$5/12</f>
        <v>0</v>
      </c>
      <c r="M356" s="88">
        <f t="shared" si="47"/>
        <v>0</v>
      </c>
      <c r="N356" s="88">
        <f t="shared" si="48"/>
        <v>0</v>
      </c>
      <c r="P356" s="88">
        <f t="shared" si="49"/>
        <v>0</v>
      </c>
      <c r="Q356" s="89">
        <f>-PV(BondCalculator!$B$9/12,B356,0,1,0)</f>
        <v>0.1719412976084112</v>
      </c>
      <c r="S356" s="90">
        <f t="shared" si="50"/>
        <v>0</v>
      </c>
    </row>
    <row r="357" spans="1:19" ht="15" customHeight="1">
      <c r="A357" s="85" t="s">
        <v>128</v>
      </c>
      <c r="B357" s="96">
        <v>354</v>
      </c>
      <c r="C357" s="86">
        <f t="shared" si="53"/>
        <v>0</v>
      </c>
      <c r="D357" s="86">
        <f>IF(G356=0,0,IF(G356&lt;BondCalculator!$B$12,G356+E357,BondCalculator!$B$12))</f>
        <v>0</v>
      </c>
      <c r="E357" s="86">
        <f>C357*BondCalculator!$B$5/12</f>
        <v>0</v>
      </c>
      <c r="F357" s="86">
        <f t="shared" si="45"/>
        <v>0</v>
      </c>
      <c r="G357" s="86">
        <f t="shared" si="51"/>
        <v>0</v>
      </c>
      <c r="H357" s="98">
        <f t="shared" si="52"/>
        <v>0</v>
      </c>
      <c r="J357" s="88">
        <f t="shared" si="46"/>
        <v>0</v>
      </c>
      <c r="K357" s="88">
        <f>IF(N356=0,0,IF(N356&lt;BondCalculator!$B$12+BondCalculator!$B$7,N356+L357,BondCalculator!$B$12+BondCalculator!$B$7))</f>
        <v>0</v>
      </c>
      <c r="L357" s="88">
        <f>J357*BondCalculator!$B$5/12</f>
        <v>0</v>
      </c>
      <c r="M357" s="88">
        <f t="shared" si="47"/>
        <v>0</v>
      </c>
      <c r="N357" s="88">
        <f t="shared" si="48"/>
        <v>0</v>
      </c>
      <c r="P357" s="88">
        <f t="shared" si="49"/>
        <v>0</v>
      </c>
      <c r="Q357" s="89">
        <f>-PV(BondCalculator!$B$9/12,B357,0,1,0)</f>
        <v>0.17108586826707584</v>
      </c>
      <c r="S357" s="90">
        <f t="shared" si="50"/>
        <v>0</v>
      </c>
    </row>
    <row r="358" spans="1:19" ht="15" customHeight="1">
      <c r="A358" s="85" t="s">
        <v>128</v>
      </c>
      <c r="B358" s="96">
        <v>355</v>
      </c>
      <c r="C358" s="86">
        <f t="shared" si="53"/>
        <v>0</v>
      </c>
      <c r="D358" s="86">
        <f>IF(G357=0,0,IF(G357&lt;BondCalculator!$B$12,G357+E358,BondCalculator!$B$12))</f>
        <v>0</v>
      </c>
      <c r="E358" s="86">
        <f>C358*BondCalculator!$B$5/12</f>
        <v>0</v>
      </c>
      <c r="F358" s="86">
        <f t="shared" si="45"/>
        <v>0</v>
      </c>
      <c r="G358" s="86">
        <f t="shared" si="51"/>
        <v>0</v>
      </c>
      <c r="H358" s="98">
        <f t="shared" si="52"/>
        <v>0</v>
      </c>
      <c r="J358" s="88">
        <f t="shared" si="46"/>
        <v>0</v>
      </c>
      <c r="K358" s="88">
        <f>IF(N357=0,0,IF(N357&lt;BondCalculator!$B$12+BondCalculator!$B$7,N357+L358,BondCalculator!$B$12+BondCalculator!$B$7))</f>
        <v>0</v>
      </c>
      <c r="L358" s="88">
        <f>J358*BondCalculator!$B$5/12</f>
        <v>0</v>
      </c>
      <c r="M358" s="88">
        <f t="shared" si="47"/>
        <v>0</v>
      </c>
      <c r="N358" s="88">
        <f t="shared" si="48"/>
        <v>0</v>
      </c>
      <c r="P358" s="88">
        <f t="shared" si="49"/>
        <v>0</v>
      </c>
      <c r="Q358" s="89">
        <f>-PV(BondCalculator!$B$9/12,B358,0,1,0)</f>
        <v>0.1702346947931103</v>
      </c>
      <c r="S358" s="90">
        <f t="shared" si="50"/>
        <v>0</v>
      </c>
    </row>
    <row r="359" spans="1:19" ht="15" customHeight="1">
      <c r="A359" s="85" t="s">
        <v>128</v>
      </c>
      <c r="B359" s="96">
        <v>356</v>
      </c>
      <c r="C359" s="86">
        <f t="shared" si="53"/>
        <v>0</v>
      </c>
      <c r="D359" s="86">
        <f>IF(G358=0,0,IF(G358&lt;BondCalculator!$B$12,G358+E359,BondCalculator!$B$12))</f>
        <v>0</v>
      </c>
      <c r="E359" s="86">
        <f>C359*BondCalculator!$B$5/12</f>
        <v>0</v>
      </c>
      <c r="F359" s="86">
        <f t="shared" si="45"/>
        <v>0</v>
      </c>
      <c r="G359" s="86">
        <f t="shared" si="51"/>
        <v>0</v>
      </c>
      <c r="H359" s="98">
        <f t="shared" si="52"/>
        <v>0</v>
      </c>
      <c r="J359" s="88">
        <f t="shared" si="46"/>
        <v>0</v>
      </c>
      <c r="K359" s="88">
        <f>IF(N358=0,0,IF(N358&lt;BondCalculator!$B$12+BondCalculator!$B$7,N358+L359,BondCalculator!$B$12+BondCalculator!$B$7))</f>
        <v>0</v>
      </c>
      <c r="L359" s="88">
        <f>J359*BondCalculator!$B$5/12</f>
        <v>0</v>
      </c>
      <c r="M359" s="88">
        <f t="shared" si="47"/>
        <v>0</v>
      </c>
      <c r="N359" s="88">
        <f t="shared" si="48"/>
        <v>0</v>
      </c>
      <c r="P359" s="88">
        <f t="shared" si="49"/>
        <v>0</v>
      </c>
      <c r="Q359" s="89">
        <f>-PV(BondCalculator!$B$9/12,B359,0,1,0)</f>
        <v>0.16938775601304512</v>
      </c>
      <c r="S359" s="90">
        <f t="shared" si="50"/>
        <v>0</v>
      </c>
    </row>
    <row r="360" spans="1:19" ht="15" customHeight="1">
      <c r="A360" s="85" t="s">
        <v>128</v>
      </c>
      <c r="B360" s="96">
        <v>357</v>
      </c>
      <c r="C360" s="86">
        <f t="shared" si="53"/>
        <v>0</v>
      </c>
      <c r="D360" s="86">
        <f>IF(G359=0,0,IF(G359&lt;BondCalculator!$B$12,G359+E360,BondCalculator!$B$12))</f>
        <v>0</v>
      </c>
      <c r="E360" s="86">
        <f>C360*BondCalculator!$B$5/12</f>
        <v>0</v>
      </c>
      <c r="F360" s="86">
        <f t="shared" si="45"/>
        <v>0</v>
      </c>
      <c r="G360" s="86">
        <f t="shared" si="51"/>
        <v>0</v>
      </c>
      <c r="H360" s="98">
        <f t="shared" si="52"/>
        <v>0</v>
      </c>
      <c r="J360" s="88">
        <f t="shared" si="46"/>
        <v>0</v>
      </c>
      <c r="K360" s="88">
        <f>IF(N359=0,0,IF(N359&lt;BondCalculator!$B$12+BondCalculator!$B$7,N359+L360,BondCalculator!$B$12+BondCalculator!$B$7))</f>
        <v>0</v>
      </c>
      <c r="L360" s="88">
        <f>J360*BondCalculator!$B$5/12</f>
        <v>0</v>
      </c>
      <c r="M360" s="88">
        <f t="shared" si="47"/>
        <v>0</v>
      </c>
      <c r="N360" s="88">
        <f t="shared" si="48"/>
        <v>0</v>
      </c>
      <c r="P360" s="88">
        <f t="shared" si="49"/>
        <v>0</v>
      </c>
      <c r="Q360" s="89">
        <f>-PV(BondCalculator!$B$9/12,B360,0,1,0)</f>
        <v>0.16854503085875142</v>
      </c>
      <c r="S360" s="90">
        <f t="shared" si="50"/>
        <v>0</v>
      </c>
    </row>
    <row r="361" spans="1:19" ht="15" customHeight="1">
      <c r="A361" s="85" t="s">
        <v>128</v>
      </c>
      <c r="B361" s="96">
        <v>358</v>
      </c>
      <c r="C361" s="86">
        <f t="shared" si="53"/>
        <v>0</v>
      </c>
      <c r="D361" s="86">
        <f>IF(G360=0,0,IF(G360&lt;BondCalculator!$B$12,G360+E361,BondCalculator!$B$12))</f>
        <v>0</v>
      </c>
      <c r="E361" s="86">
        <f>C361*BondCalculator!$B$5/12</f>
        <v>0</v>
      </c>
      <c r="F361" s="86">
        <f t="shared" si="45"/>
        <v>0</v>
      </c>
      <c r="G361" s="86">
        <f t="shared" si="51"/>
        <v>0</v>
      </c>
      <c r="H361" s="98">
        <f t="shared" si="52"/>
        <v>0</v>
      </c>
      <c r="J361" s="88">
        <f t="shared" si="46"/>
        <v>0</v>
      </c>
      <c r="K361" s="88">
        <f>IF(N360=0,0,IF(N360&lt;BondCalculator!$B$12+BondCalculator!$B$7,N360+L361,BondCalculator!$B$12+BondCalculator!$B$7))</f>
        <v>0</v>
      </c>
      <c r="L361" s="88">
        <f>J361*BondCalculator!$B$5/12</f>
        <v>0</v>
      </c>
      <c r="M361" s="88">
        <f t="shared" si="47"/>
        <v>0</v>
      </c>
      <c r="N361" s="88">
        <f t="shared" si="48"/>
        <v>0</v>
      </c>
      <c r="P361" s="88">
        <f t="shared" si="49"/>
        <v>0</v>
      </c>
      <c r="Q361" s="89">
        <f>-PV(BondCalculator!$B$9/12,B361,0,1,0)</f>
        <v>0.16770649836691684</v>
      </c>
      <c r="S361" s="90">
        <f t="shared" si="50"/>
        <v>0</v>
      </c>
    </row>
    <row r="362" spans="1:19" ht="15" customHeight="1">
      <c r="A362" s="85" t="s">
        <v>128</v>
      </c>
      <c r="B362" s="96">
        <v>359</v>
      </c>
      <c r="C362" s="86">
        <f t="shared" si="53"/>
        <v>0</v>
      </c>
      <c r="D362" s="86">
        <f>IF(G361=0,0,IF(G361&lt;BondCalculator!$B$12,G361+E362,BondCalculator!$B$12))</f>
        <v>0</v>
      </c>
      <c r="E362" s="86">
        <f>C362*BondCalculator!$B$5/12</f>
        <v>0</v>
      </c>
      <c r="F362" s="86">
        <f t="shared" si="45"/>
        <v>0</v>
      </c>
      <c r="G362" s="86">
        <f t="shared" si="51"/>
        <v>0</v>
      </c>
      <c r="H362" s="98">
        <f t="shared" si="52"/>
        <v>0</v>
      </c>
      <c r="J362" s="88">
        <f t="shared" si="46"/>
        <v>0</v>
      </c>
      <c r="K362" s="88">
        <f>IF(N361=0,0,IF(N361&lt;BondCalculator!$B$12+BondCalculator!$B$7,N361+L362,BondCalculator!$B$12+BondCalculator!$B$7))</f>
        <v>0</v>
      </c>
      <c r="L362" s="88">
        <f>J362*BondCalculator!$B$5/12</f>
        <v>0</v>
      </c>
      <c r="M362" s="88">
        <f t="shared" si="47"/>
        <v>0</v>
      </c>
      <c r="N362" s="88">
        <f t="shared" si="48"/>
        <v>0</v>
      </c>
      <c r="P362" s="88">
        <f t="shared" si="49"/>
        <v>0</v>
      </c>
      <c r="Q362" s="89">
        <f>-PV(BondCalculator!$B$9/12,B362,0,1,0)</f>
        <v>0.16687213767852424</v>
      </c>
      <c r="S362" s="90">
        <f t="shared" si="50"/>
        <v>0</v>
      </c>
    </row>
    <row r="363" spans="1:19" ht="15" customHeight="1">
      <c r="A363" s="85" t="s">
        <v>128</v>
      </c>
      <c r="B363" s="96">
        <v>360</v>
      </c>
      <c r="C363" s="86">
        <f t="shared" si="53"/>
        <v>0</v>
      </c>
      <c r="D363" s="86">
        <f>IF(G362=0,0,IF(G362&lt;BondCalculator!$B$12,G362+E363,BondCalculator!$B$12))</f>
        <v>0</v>
      </c>
      <c r="E363" s="86">
        <f>C363*BondCalculator!$B$5/12</f>
        <v>0</v>
      </c>
      <c r="F363" s="86">
        <f t="shared" si="45"/>
        <v>0</v>
      </c>
      <c r="G363" s="86">
        <f t="shared" si="51"/>
        <v>0</v>
      </c>
      <c r="H363" s="98">
        <f t="shared" si="52"/>
        <v>0</v>
      </c>
      <c r="J363" s="88">
        <f t="shared" si="46"/>
        <v>0</v>
      </c>
      <c r="K363" s="88">
        <f>IF(N362=0,0,IF(N362&lt;BondCalculator!$B$12+BondCalculator!$B$7,N362+L363,BondCalculator!$B$12+BondCalculator!$B$7))</f>
        <v>0</v>
      </c>
      <c r="L363" s="88">
        <f>J363*BondCalculator!$B$5/12</f>
        <v>0</v>
      </c>
      <c r="M363" s="88">
        <f t="shared" si="47"/>
        <v>0</v>
      </c>
      <c r="N363" s="88">
        <f t="shared" si="48"/>
        <v>0</v>
      </c>
      <c r="P363" s="88">
        <f t="shared" si="49"/>
        <v>0</v>
      </c>
      <c r="Q363" s="89">
        <f>-PV(BondCalculator!$B$9/12,B363,0,1,0)</f>
        <v>0.1660419280383326</v>
      </c>
      <c r="S363" s="90">
        <f t="shared" si="50"/>
        <v>0</v>
      </c>
    </row>
    <row r="364" spans="5:19" ht="15" customHeight="1">
      <c r="E364" s="86">
        <f>SUM(E4:E363)</f>
        <v>1355944.128767463</v>
      </c>
      <c r="L364" s="99">
        <f>SUM(L4:L363)</f>
        <v>782800.6780033411</v>
      </c>
      <c r="P364" s="88">
        <f>SUM(P4:P363)</f>
        <v>573143.4507641227</v>
      </c>
      <c r="S364" s="90">
        <f>SUM(S4:S363)</f>
        <v>290514.93472922884</v>
      </c>
    </row>
  </sheetData>
  <sheetProtection/>
  <printOptions/>
  <pageMargins left="0.75" right="0.75" top="1" bottom="1" header="0.5" footer="0.5"/>
  <pageSetup fitToHeight="6" fitToWidth="1" horizontalDpi="600" verticalDpi="600" orientation="portrait" paperSize="9" scale="77"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Bond Calculator</dc:title>
  <dc:subject>Unique Excel Based Bond Calculator Template</dc:subject>
  <dc:creator>Excel Skills</dc:creator>
  <cp:keywords>bond calculator, home loan calculator, bond repayment calculator, mortgage calculator</cp:keywords>
  <dc:description/>
  <cp:lastModifiedBy>NSU</cp:lastModifiedBy>
  <cp:lastPrinted>2010-08-07T11:46:08Z</cp:lastPrinted>
  <dcterms:created xsi:type="dcterms:W3CDTF">2009-04-24T13:49:41Z</dcterms:created>
  <dcterms:modified xsi:type="dcterms:W3CDTF">2016-03-13T03:15:30Z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